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132" yWindow="36" windowWidth="17868" windowHeight="11760" activeTab="2"/>
  </bookViews>
  <sheets>
    <sheet name="Title" sheetId="4" r:id="rId1"/>
    <sheet name="Instructions" sheetId="7" r:id="rId2"/>
    <sheet name="LPDDR2-S4 Specs" sheetId="9" r:id="rId3"/>
    <sheet name="Device Config" sheetId="8" r:id="rId4"/>
    <sheet name="Usage Conditions" sheetId="2" r:id="rId5"/>
    <sheet name="Power Calcs" sheetId="5" r:id="rId6"/>
    <sheet name="Summary" sheetId="6" r:id="rId7"/>
  </sheets>
  <definedNames>
    <definedName name="_xlnm.Print_Area" localSheetId="3">'Device Config'!$B$1:$N$39</definedName>
    <definedName name="_xlnm.Print_Area" localSheetId="2">'LPDDR2-S4 Specs'!$B$1:$W$252</definedName>
  </definedNames>
  <calcPr calcId="125725"/>
</workbook>
</file>

<file path=xl/calcChain.xml><?xml version="1.0" encoding="utf-8"?>
<calcChain xmlns="http://schemas.openxmlformats.org/spreadsheetml/2006/main">
  <c r="C7" i="2"/>
  <c r="C26" l="1"/>
  <c r="D6" i="8"/>
  <c r="D5"/>
  <c r="D11"/>
  <c r="D7" i="6" s="1"/>
  <c r="N98" i="9"/>
  <c r="B44" i="8"/>
  <c r="B46"/>
  <c r="D4" s="1"/>
  <c r="B45"/>
  <c r="B43"/>
  <c r="B42"/>
  <c r="D13"/>
  <c r="D12"/>
  <c r="I180" i="9"/>
  <c r="H180"/>
  <c r="G180"/>
  <c r="F180"/>
  <c r="E180"/>
  <c r="I179"/>
  <c r="H179"/>
  <c r="G179"/>
  <c r="F179"/>
  <c r="E179"/>
  <c r="I178"/>
  <c r="H178"/>
  <c r="G178"/>
  <c r="F178"/>
  <c r="E178"/>
  <c r="I177"/>
  <c r="H177"/>
  <c r="G177"/>
  <c r="F177"/>
  <c r="E177"/>
  <c r="I176"/>
  <c r="H176"/>
  <c r="G176"/>
  <c r="F176"/>
  <c r="E176"/>
  <c r="I175"/>
  <c r="H175"/>
  <c r="G175"/>
  <c r="F175"/>
  <c r="E175"/>
  <c r="I174"/>
  <c r="H174"/>
  <c r="G174"/>
  <c r="F174"/>
  <c r="E174"/>
  <c r="I173"/>
  <c r="H173"/>
  <c r="G173"/>
  <c r="F173"/>
  <c r="E173"/>
  <c r="I172"/>
  <c r="H172"/>
  <c r="G172"/>
  <c r="F172"/>
  <c r="E172"/>
  <c r="I171"/>
  <c r="H171"/>
  <c r="G171"/>
  <c r="F171"/>
  <c r="E171"/>
  <c r="I170"/>
  <c r="H170"/>
  <c r="G170"/>
  <c r="F170"/>
  <c r="E170"/>
  <c r="I169"/>
  <c r="H169"/>
  <c r="G169"/>
  <c r="F169"/>
  <c r="E169"/>
  <c r="I168"/>
  <c r="H168"/>
  <c r="G168"/>
  <c r="F168"/>
  <c r="E168"/>
  <c r="I167"/>
  <c r="H167"/>
  <c r="G167"/>
  <c r="F167"/>
  <c r="E167"/>
  <c r="I166"/>
  <c r="H166"/>
  <c r="G166"/>
  <c r="F166"/>
  <c r="E166"/>
  <c r="I165"/>
  <c r="H165"/>
  <c r="G165"/>
  <c r="F165"/>
  <c r="E165"/>
  <c r="I164"/>
  <c r="H164"/>
  <c r="G164"/>
  <c r="F164"/>
  <c r="E164"/>
  <c r="I163"/>
  <c r="H163"/>
  <c r="G163"/>
  <c r="F163"/>
  <c r="E163"/>
  <c r="I162"/>
  <c r="H162"/>
  <c r="G162"/>
  <c r="F162"/>
  <c r="E162"/>
  <c r="I161"/>
  <c r="H161"/>
  <c r="G161"/>
  <c r="F161"/>
  <c r="E161"/>
  <c r="I160"/>
  <c r="H160"/>
  <c r="G160"/>
  <c r="F160"/>
  <c r="E160"/>
  <c r="I159"/>
  <c r="H159"/>
  <c r="G159"/>
  <c r="F159"/>
  <c r="E159"/>
  <c r="I158"/>
  <c r="H158"/>
  <c r="G158"/>
  <c r="F158"/>
  <c r="E158"/>
  <c r="I157"/>
  <c r="H157"/>
  <c r="G157"/>
  <c r="F157"/>
  <c r="E157"/>
  <c r="I105"/>
  <c r="H105"/>
  <c r="G105"/>
  <c r="F105"/>
  <c r="E105"/>
  <c r="I104"/>
  <c r="H104"/>
  <c r="G104"/>
  <c r="F104"/>
  <c r="E104"/>
  <c r="I103"/>
  <c r="H103"/>
  <c r="G103"/>
  <c r="F103"/>
  <c r="E103"/>
  <c r="I102"/>
  <c r="H102"/>
  <c r="G102"/>
  <c r="F102"/>
  <c r="E102"/>
  <c r="I108"/>
  <c r="I109"/>
  <c r="I110"/>
  <c r="I111"/>
  <c r="I112"/>
  <c r="I113"/>
  <c r="I114"/>
  <c r="I115"/>
  <c r="I116"/>
  <c r="I117"/>
  <c r="I118"/>
  <c r="I119"/>
  <c r="I120"/>
  <c r="I121"/>
  <c r="I122"/>
  <c r="I123"/>
  <c r="I124"/>
  <c r="I125"/>
  <c r="I126"/>
  <c r="I127"/>
  <c r="I128"/>
  <c r="I129"/>
  <c r="I130"/>
  <c r="I132"/>
  <c r="I133"/>
  <c r="I134"/>
  <c r="I135"/>
  <c r="I136"/>
  <c r="I137"/>
  <c r="I138"/>
  <c r="I139"/>
  <c r="I140"/>
  <c r="I141"/>
  <c r="I142"/>
  <c r="I143"/>
  <c r="I144"/>
  <c r="I145"/>
  <c r="I146"/>
  <c r="I147"/>
  <c r="I148"/>
  <c r="I149"/>
  <c r="I150"/>
  <c r="I151"/>
  <c r="I152"/>
  <c r="I153"/>
  <c r="I154"/>
  <c r="I155"/>
  <c r="H108"/>
  <c r="H109"/>
  <c r="H110"/>
  <c r="H111"/>
  <c r="H112"/>
  <c r="H113"/>
  <c r="H114"/>
  <c r="H115"/>
  <c r="H116"/>
  <c r="H117"/>
  <c r="H118"/>
  <c r="H119"/>
  <c r="H120"/>
  <c r="H121"/>
  <c r="H122"/>
  <c r="H123"/>
  <c r="H124"/>
  <c r="H125"/>
  <c r="H126"/>
  <c r="H127"/>
  <c r="H128"/>
  <c r="H129"/>
  <c r="H130"/>
  <c r="H132"/>
  <c r="H133"/>
  <c r="H134"/>
  <c r="H135"/>
  <c r="H136"/>
  <c r="H137"/>
  <c r="H138"/>
  <c r="H139"/>
  <c r="H140"/>
  <c r="H141"/>
  <c r="H142"/>
  <c r="H143"/>
  <c r="H144"/>
  <c r="H145"/>
  <c r="H146"/>
  <c r="H147"/>
  <c r="H148"/>
  <c r="H149"/>
  <c r="H150"/>
  <c r="H151"/>
  <c r="H152"/>
  <c r="H153"/>
  <c r="H154"/>
  <c r="H155"/>
  <c r="G108"/>
  <c r="G109"/>
  <c r="G110"/>
  <c r="G111"/>
  <c r="G112"/>
  <c r="G113"/>
  <c r="G114"/>
  <c r="G115"/>
  <c r="G116"/>
  <c r="G117"/>
  <c r="G118"/>
  <c r="G119"/>
  <c r="G120"/>
  <c r="G121"/>
  <c r="G122"/>
  <c r="G123"/>
  <c r="G124"/>
  <c r="G125"/>
  <c r="G126"/>
  <c r="G127"/>
  <c r="G128"/>
  <c r="G129"/>
  <c r="G130"/>
  <c r="G132"/>
  <c r="G133"/>
  <c r="G134"/>
  <c r="G135"/>
  <c r="G136"/>
  <c r="G137"/>
  <c r="G138"/>
  <c r="G139"/>
  <c r="G140"/>
  <c r="G141"/>
  <c r="G142"/>
  <c r="G143"/>
  <c r="G144"/>
  <c r="G145"/>
  <c r="G146"/>
  <c r="G147"/>
  <c r="G148"/>
  <c r="G149"/>
  <c r="G150"/>
  <c r="G151"/>
  <c r="G152"/>
  <c r="G153"/>
  <c r="G154"/>
  <c r="G155"/>
  <c r="F134"/>
  <c r="F135"/>
  <c r="F136"/>
  <c r="F137"/>
  <c r="F138"/>
  <c r="F139"/>
  <c r="F140"/>
  <c r="F141"/>
  <c r="F142"/>
  <c r="F143"/>
  <c r="F144"/>
  <c r="F145"/>
  <c r="F146"/>
  <c r="F147"/>
  <c r="F148"/>
  <c r="F149"/>
  <c r="F150"/>
  <c r="F151"/>
  <c r="F152"/>
  <c r="F153"/>
  <c r="F154"/>
  <c r="F155"/>
  <c r="F108"/>
  <c r="F109"/>
  <c r="F110"/>
  <c r="F111"/>
  <c r="F112"/>
  <c r="F113"/>
  <c r="F114"/>
  <c r="F115"/>
  <c r="F116"/>
  <c r="F117"/>
  <c r="F118"/>
  <c r="F119"/>
  <c r="F120"/>
  <c r="F121"/>
  <c r="F122"/>
  <c r="F123"/>
  <c r="F124"/>
  <c r="F125"/>
  <c r="F126"/>
  <c r="F127"/>
  <c r="F128"/>
  <c r="F129"/>
  <c r="F130"/>
  <c r="F132"/>
  <c r="F133"/>
  <c r="E155"/>
  <c r="E147"/>
  <c r="E148"/>
  <c r="E149"/>
  <c r="E150"/>
  <c r="E151"/>
  <c r="E152"/>
  <c r="E153"/>
  <c r="E154"/>
  <c r="E133"/>
  <c r="E134"/>
  <c r="E135"/>
  <c r="E136"/>
  <c r="E137"/>
  <c r="E138"/>
  <c r="E139"/>
  <c r="E140"/>
  <c r="E141"/>
  <c r="E142"/>
  <c r="E143"/>
  <c r="E144"/>
  <c r="E145"/>
  <c r="E146"/>
  <c r="E132"/>
  <c r="E130"/>
  <c r="E127"/>
  <c r="E128"/>
  <c r="E129"/>
  <c r="E125"/>
  <c r="E126"/>
  <c r="I183"/>
  <c r="I184"/>
  <c r="I185"/>
  <c r="I186"/>
  <c r="I187"/>
  <c r="I188"/>
  <c r="I189"/>
  <c r="I190"/>
  <c r="I182"/>
  <c r="I107"/>
  <c r="H183"/>
  <c r="H184"/>
  <c r="H185"/>
  <c r="H186"/>
  <c r="H187"/>
  <c r="H188"/>
  <c r="H189"/>
  <c r="H190"/>
  <c r="H182"/>
  <c r="H107"/>
  <c r="G183"/>
  <c r="G184"/>
  <c r="G185"/>
  <c r="G186"/>
  <c r="G187"/>
  <c r="G188"/>
  <c r="G189"/>
  <c r="G190"/>
  <c r="G182"/>
  <c r="G107"/>
  <c r="F183"/>
  <c r="F184"/>
  <c r="F185"/>
  <c r="F186"/>
  <c r="F187"/>
  <c r="F188"/>
  <c r="F189"/>
  <c r="F190"/>
  <c r="F182"/>
  <c r="F107"/>
  <c r="E190"/>
  <c r="E183"/>
  <c r="E184"/>
  <c r="E185"/>
  <c r="E186"/>
  <c r="E187"/>
  <c r="E188"/>
  <c r="E189"/>
  <c r="E182"/>
  <c r="E108"/>
  <c r="E109"/>
  <c r="E110"/>
  <c r="E111"/>
  <c r="E112"/>
  <c r="E113"/>
  <c r="E114"/>
  <c r="E115"/>
  <c r="E116"/>
  <c r="E117"/>
  <c r="E118"/>
  <c r="E119"/>
  <c r="E120"/>
  <c r="E121"/>
  <c r="E122"/>
  <c r="E123"/>
  <c r="E124"/>
  <c r="E107"/>
  <c r="N99"/>
  <c r="N175" s="1"/>
  <c r="I101"/>
  <c r="H101"/>
  <c r="G101"/>
  <c r="F101"/>
  <c r="E101"/>
  <c r="I100"/>
  <c r="H100"/>
  <c r="G100"/>
  <c r="F100"/>
  <c r="E100"/>
  <c r="I98"/>
  <c r="H98"/>
  <c r="G98"/>
  <c r="F98"/>
  <c r="E98"/>
  <c r="F18" i="2"/>
  <c r="C13"/>
  <c r="F15"/>
  <c r="C19"/>
  <c r="F20"/>
  <c r="F11"/>
  <c r="D9" i="6"/>
  <c r="K16" i="5"/>
  <c r="D26" i="6" s="1"/>
  <c r="D8"/>
  <c r="D16" i="5"/>
  <c r="G16" s="1"/>
  <c r="N137" i="9" l="1"/>
  <c r="N104"/>
  <c r="H197" s="1"/>
  <c r="F15" i="8" s="1"/>
  <c r="N122" i="9"/>
  <c r="N180"/>
  <c r="N132"/>
  <c r="H213" s="1"/>
  <c r="E18" i="8" s="1"/>
  <c r="N147" i="9"/>
  <c r="N100"/>
  <c r="H193" s="1"/>
  <c r="D15" i="8" s="1"/>
  <c r="N150" i="9"/>
  <c r="H222" s="1"/>
  <c r="E27" i="8" s="1"/>
  <c r="N162" i="9"/>
  <c r="N110"/>
  <c r="A2" i="6"/>
  <c r="N155" i="9"/>
  <c r="N145"/>
  <c r="N135"/>
  <c r="N118"/>
  <c r="N144"/>
  <c r="H219" s="1"/>
  <c r="E24" i="8" s="1"/>
  <c r="N127" i="9"/>
  <c r="N102"/>
  <c r="H195" s="1"/>
  <c r="E15" i="8" s="1"/>
  <c r="N164" i="9"/>
  <c r="N171"/>
  <c r="H233" s="1"/>
  <c r="F25" i="8" s="1"/>
  <c r="N151" i="9"/>
  <c r="N139"/>
  <c r="N126"/>
  <c r="N136"/>
  <c r="H215" s="1"/>
  <c r="E20" i="8" s="1"/>
  <c r="N113" i="9"/>
  <c r="H203" s="1"/>
  <c r="D21" i="8" s="1"/>
  <c r="N185" i="9"/>
  <c r="H241" s="1"/>
  <c r="D33" i="8" s="1"/>
  <c r="N179" i="9"/>
  <c r="H237" s="1"/>
  <c r="F29" i="8" s="1"/>
  <c r="N187" i="9"/>
  <c r="H243" s="1"/>
  <c r="D35" i="8" s="1"/>
  <c r="N183" i="9"/>
  <c r="H240" s="1"/>
  <c r="D32" i="8" s="1"/>
  <c r="N149" i="9"/>
  <c r="N141"/>
  <c r="N133"/>
  <c r="N124"/>
  <c r="N120"/>
  <c r="N116"/>
  <c r="N112"/>
  <c r="N108"/>
  <c r="N105"/>
  <c r="H198" s="1"/>
  <c r="F16" i="8" s="1"/>
  <c r="N160" i="9"/>
  <c r="N168"/>
  <c r="N172"/>
  <c r="N176"/>
  <c r="N153"/>
  <c r="N143"/>
  <c r="N130"/>
  <c r="N114"/>
  <c r="N138"/>
  <c r="H216" s="1"/>
  <c r="E21" i="8" s="1"/>
  <c r="N121" i="9"/>
  <c r="H207" s="1"/>
  <c r="D25" i="8" s="1"/>
  <c r="N189" i="9"/>
  <c r="H245" s="1"/>
  <c r="D37" i="8" s="1"/>
  <c r="N184" i="9"/>
  <c r="N167"/>
  <c r="H231" s="1"/>
  <c r="F23" i="8" s="1"/>
  <c r="N190" i="9"/>
  <c r="H246" s="1"/>
  <c r="D38" i="8" s="1"/>
  <c r="N186" i="9"/>
  <c r="H242" s="1"/>
  <c r="D34" i="8" s="1"/>
  <c r="N140" i="9"/>
  <c r="H217" s="1"/>
  <c r="E22" i="8" s="1"/>
  <c r="N107" i="9"/>
  <c r="H200" s="1"/>
  <c r="D18" i="8" s="1"/>
  <c r="N188" i="9"/>
  <c r="H244" s="1"/>
  <c r="D36" i="8" s="1"/>
  <c r="N154" i="9"/>
  <c r="N146"/>
  <c r="H220" s="1"/>
  <c r="E25" i="8" s="1"/>
  <c r="N129" i="9"/>
  <c r="H211" s="1"/>
  <c r="D29" i="8" s="1"/>
  <c r="N125" i="9"/>
  <c r="H209" s="1"/>
  <c r="D27" i="8" s="1"/>
  <c r="N117" i="9"/>
  <c r="H205" s="1"/>
  <c r="D23" i="8" s="1"/>
  <c r="N109" i="9"/>
  <c r="H201" s="1"/>
  <c r="D19" i="8" s="1"/>
  <c r="N159" i="9"/>
  <c r="H227" s="1"/>
  <c r="F19" i="8" s="1"/>
  <c r="N163" i="9"/>
  <c r="H229" s="1"/>
  <c r="F21" i="8" s="1"/>
  <c r="H224" i="9"/>
  <c r="E29" i="8" s="1"/>
  <c r="H235" i="9"/>
  <c r="F27" i="8" s="1"/>
  <c r="C4" i="6"/>
  <c r="N119" i="9"/>
  <c r="H206" s="1"/>
  <c r="D24" i="8" s="1"/>
  <c r="N115" i="9"/>
  <c r="H204" s="1"/>
  <c r="D22" i="8" s="1"/>
  <c r="N148" i="9"/>
  <c r="H221" s="1"/>
  <c r="E26" i="8" s="1"/>
  <c r="N103" i="9"/>
  <c r="H196" s="1"/>
  <c r="E16" i="8" s="1"/>
  <c r="N173" i="9"/>
  <c r="N165"/>
  <c r="N157"/>
  <c r="N123"/>
  <c r="H208" s="1"/>
  <c r="D26" i="8" s="1"/>
  <c r="N134" i="9"/>
  <c r="H214" s="1"/>
  <c r="E19" i="8" s="1"/>
  <c r="N152" i="9"/>
  <c r="H223" s="1"/>
  <c r="E28" i="8" s="1"/>
  <c r="N174" i="9"/>
  <c r="N178"/>
  <c r="N101"/>
  <c r="H194" s="1"/>
  <c r="D16" i="8" s="1"/>
  <c r="N128" i="9"/>
  <c r="N142"/>
  <c r="H218" s="1"/>
  <c r="E23" i="8" s="1"/>
  <c r="N166" i="9"/>
  <c r="N170"/>
  <c r="N177"/>
  <c r="N169"/>
  <c r="N161"/>
  <c r="H228" s="1"/>
  <c r="N111"/>
  <c r="H202" s="1"/>
  <c r="D20" i="8" s="1"/>
  <c r="N182" i="9"/>
  <c r="H239" s="1"/>
  <c r="D31" i="8" s="1"/>
  <c r="N158" i="9"/>
  <c r="F20" i="8" l="1"/>
  <c r="H210" i="9"/>
  <c r="D28" i="8" s="1"/>
  <c r="F6" i="2"/>
  <c r="D7" i="5"/>
  <c r="G7" s="1"/>
  <c r="H230" i="9"/>
  <c r="F22" i="8" s="1"/>
  <c r="D8" i="5" s="1"/>
  <c r="G8" s="1"/>
  <c r="D12"/>
  <c r="G12" s="1"/>
  <c r="K12"/>
  <c r="D18" i="6" s="1"/>
  <c r="H226" i="9"/>
  <c r="F18" i="8" s="1"/>
  <c r="F13" i="2"/>
  <c r="H234" i="9"/>
  <c r="F26" i="8" s="1"/>
  <c r="K6" i="5"/>
  <c r="D12" i="6" s="1"/>
  <c r="D6" i="5"/>
  <c r="G6" s="1"/>
  <c r="F5" i="2"/>
  <c r="H236" i="9"/>
  <c r="F28" i="8" s="1"/>
  <c r="D11" i="5" s="1"/>
  <c r="G11" s="1"/>
  <c r="H232" i="9"/>
  <c r="F24" i="8" s="1"/>
  <c r="D15" i="5" s="1"/>
  <c r="G15" s="1"/>
  <c r="K7"/>
  <c r="D13" i="6" s="1"/>
  <c r="K8" i="5" l="1"/>
  <c r="D14" i="6" s="1"/>
  <c r="K11" i="5"/>
  <c r="D17" i="6" s="1"/>
  <c r="K13" i="5"/>
  <c r="D21" i="6" s="1"/>
  <c r="D22" s="1"/>
  <c r="K9" i="5"/>
  <c r="D15" i="6" s="1"/>
  <c r="K14" i="5"/>
  <c r="D24" i="6" s="1"/>
  <c r="D13" i="5"/>
  <c r="G13" s="1"/>
  <c r="D14"/>
  <c r="G14" s="1"/>
  <c r="K10"/>
  <c r="D16" i="6" s="1"/>
  <c r="D9" i="5"/>
  <c r="G9" s="1"/>
  <c r="D10"/>
  <c r="G10" s="1"/>
  <c r="K15"/>
  <c r="D25" i="6" s="1"/>
  <c r="D19" l="1"/>
  <c r="G18" i="5"/>
  <c r="D27" i="6"/>
  <c r="K18" i="5"/>
  <c r="D28" i="6" l="1"/>
</calcChain>
</file>

<file path=xl/sharedStrings.xml><?xml version="1.0" encoding="utf-8"?>
<sst xmlns="http://schemas.openxmlformats.org/spreadsheetml/2006/main" count="1428" uniqueCount="329">
  <si>
    <t>mW</t>
  </si>
  <si>
    <t>V</t>
  </si>
  <si>
    <t>mA</t>
  </si>
  <si>
    <t>P(PRE_PDN)</t>
  </si>
  <si>
    <t>P(ACT_PDN)</t>
  </si>
  <si>
    <t>P(ACT_STBY)</t>
  </si>
  <si>
    <t>P(ACT)</t>
  </si>
  <si>
    <t>P(WR)</t>
  </si>
  <si>
    <t>P(RD)</t>
  </si>
  <si>
    <t>P(REF)</t>
  </si>
  <si>
    <t>Read Bandwidth</t>
  </si>
  <si>
    <t>Write Bandwidth</t>
  </si>
  <si>
    <t>Bus Idle Time</t>
  </si>
  <si>
    <t>MB/sec</t>
  </si>
  <si>
    <t>ns</t>
  </si>
  <si>
    <t>File Name</t>
  </si>
  <si>
    <t>Revision</t>
  </si>
  <si>
    <t>Date</t>
  </si>
  <si>
    <t>Company</t>
  </si>
  <si>
    <t>E-Mail</t>
  </si>
  <si>
    <t>Description</t>
  </si>
  <si>
    <t>Notes</t>
  </si>
  <si>
    <t>Disclaimer</t>
  </si>
  <si>
    <t>Micron Technology, Inc.</t>
  </si>
  <si>
    <t>:</t>
  </si>
  <si>
    <t>Speed Grade</t>
  </si>
  <si>
    <t>Value</t>
  </si>
  <si>
    <t>Units</t>
  </si>
  <si>
    <t>Parameter</t>
  </si>
  <si>
    <t>Condition</t>
  </si>
  <si>
    <t>Power Consumption Summary</t>
  </si>
  <si>
    <t>Limitations</t>
  </si>
  <si>
    <t xml:space="preserve"> Total Background  Power</t>
  </si>
  <si>
    <t>p(PRE_PDN)</t>
  </si>
  <si>
    <t>p(ACT_PDN)</t>
  </si>
  <si>
    <t>p(ACT_STBY)</t>
  </si>
  <si>
    <t>p(ACT)</t>
  </si>
  <si>
    <t>p(WR)</t>
  </si>
  <si>
    <t>p(RD)</t>
  </si>
  <si>
    <t>p(REF)</t>
  </si>
  <si>
    <t>p(DQ)</t>
  </si>
  <si>
    <t>P(DQ)</t>
  </si>
  <si>
    <t>DRAM read power</t>
  </si>
  <si>
    <t>DQ output power</t>
  </si>
  <si>
    <t>DRAM write power</t>
  </si>
  <si>
    <t>DRAM power for ACT/PRE commands</t>
  </si>
  <si>
    <t>Background power to complete refreshes</t>
  </si>
  <si>
    <t>All rights reserved</t>
  </si>
  <si>
    <t>p(PRE_STBY)</t>
  </si>
  <si>
    <t>P(PRE_STBY)</t>
  </si>
  <si>
    <t xml:space="preserve"> </t>
  </si>
  <si>
    <t>DRAM Usage Conditions in the System Environment</t>
  </si>
  <si>
    <t>Worst Case Power Based on Data Sheet</t>
  </si>
  <si>
    <t>THIS SPREADSHEET IS FOR ESTIMATING PURPOSES ONLY. ANY INFORMATION PROVIDED HEREIN IS PROVIDED "AS IS" AND WITHOUT WARRANTIES OF ANY KIND.  MICRON WARRANTS ONLY THAT ITS PRODUCTS COMPLY WITH MICRON'S SPECIFICATION SHEET FOR THE PRODUCT AT THE TIME OF DELIVERY; PROVIDED THAT DEVIATIONS FROM SPECIFICATIONS WHICH DO NOT MATERIALLY AFFECT FORM, FIT OR FUNCTION OF SUCH PRODUCT IN THE SYSTEM AND CONFIGURATION IN OR FOR WHICH IT IS INITIALLY INSTALLED OR QUALIFIED BY CUSTOMER SHALL NOT BE DEEMED TO CONSTITUTE FAILURE TO COMPLY WITH SUCH SPECIFICATIONS.</t>
  </si>
  <si>
    <t>SEE MICRON'S STANDARD TERMS AND CONDITIONS OF SALE FOR COMPLETE WARRANTY DETAILS.</t>
  </si>
  <si>
    <t>Maximum Precharge Power-Down Standby Current</t>
  </si>
  <si>
    <t>Maximum Precharge Standby Current</t>
  </si>
  <si>
    <t>Maximum Active Power-Down Standby Current</t>
  </si>
  <si>
    <t>Maximum Active Standby Current</t>
  </si>
  <si>
    <t>Maximum Read Burst Current</t>
  </si>
  <si>
    <t>Maximum Write BurstCurrent</t>
  </si>
  <si>
    <t>The average time between ACT commands to this DRAM (includes ACT to same or different banks in the same DRAM device)</t>
  </si>
  <si>
    <t>The percentage of clock cycles which are outputting read data from the DRAM</t>
  </si>
  <si>
    <t>The percentage of clock cycles which are inputting write data to the DRAM</t>
  </si>
  <si>
    <t>Background power used during precharge power-down</t>
  </si>
  <si>
    <t>Background power used during idle standby</t>
  </si>
  <si>
    <t>Background power used during active standby</t>
  </si>
  <si>
    <t>Total Activate Power</t>
  </si>
  <si>
    <t>Total Read/Write Power</t>
  </si>
  <si>
    <r>
      <t xml:space="preserve">Total DRAM Power Consumed </t>
    </r>
    <r>
      <rPr>
        <b/>
        <sz val="10"/>
        <rFont val="Symbol"/>
        <family val="1"/>
        <charset val="2"/>
      </rPr>
      <t>³</t>
    </r>
  </si>
  <si>
    <t>Minimum activate-to-activate timing (different bank)</t>
  </si>
  <si>
    <t>Minimum activate-to-activate timing (Same bank)</t>
  </si>
  <si>
    <t>Background power used during active power-down</t>
  </si>
  <si>
    <t>Power Derated for System Usage Conditions Input Into this Model</t>
  </si>
  <si>
    <t>Instructions for use</t>
  </si>
  <si>
    <t>Power Calcs tab</t>
  </si>
  <si>
    <t>Summary tab</t>
  </si>
  <si>
    <t>No inputs are required for this tab. It contains a summary of the power used by the DRAM. The power is broken out between:
  -power to read/write data to and from the DRAM
  - power to activate the rows
  - background power for standby modes and refresh</t>
  </si>
  <si>
    <t>Equation 9</t>
  </si>
  <si>
    <t>Equation 15</t>
  </si>
  <si>
    <r>
      <t xml:space="preserve">Usage Conditions tab </t>
    </r>
    <r>
      <rPr>
        <b/>
        <sz val="12"/>
        <color indexed="10"/>
        <rFont val="Arial"/>
        <family val="2"/>
      </rPr>
      <t>(ALL MUST BE ENTERED FOR SPECIFIC SYSTEM)</t>
    </r>
  </si>
  <si>
    <t>No inputs are required for this tab. It contains some of the detail calculations that provide information into the Summary tab. It can be used as a reference for a further understanding of the calculator. Optionally, you may jump straight to the Summary page for the final answer.</t>
  </si>
  <si>
    <t>mobilesupport@micron.com</t>
  </si>
  <si>
    <t>Calculates the power consumed by an LPDDR2 SDRAM based on system use parameters and the device data sheet.</t>
  </si>
  <si>
    <t>IDD6</t>
  </si>
  <si>
    <t>Maximum Self-Refresh Current</t>
  </si>
  <si>
    <t>IDD8</t>
  </si>
  <si>
    <t>Maximum Deep Power-Down Current</t>
  </si>
  <si>
    <t>rev 0.1 initial release</t>
  </si>
  <si>
    <t>Copyright © 2009 Micron Semiconductor Products, Inc.</t>
  </si>
  <si>
    <t>LPDDR2 SDRAM Output Power per DQ</t>
  </si>
  <si>
    <t>Power(operation)</t>
  </si>
  <si>
    <r>
      <t>This value is at V</t>
    </r>
    <r>
      <rPr>
        <vertAlign val="subscript"/>
        <sz val="10"/>
        <rFont val="Arial"/>
        <family val="2"/>
      </rPr>
      <t>DD</t>
    </r>
    <r>
      <rPr>
        <sz val="10"/>
        <rFont val="Arial"/>
        <family val="2"/>
      </rPr>
      <t>*</t>
    </r>
    <r>
      <rPr>
        <sz val="10"/>
        <rFont val="Arial"/>
      </rPr>
      <t>=max spec at datasheet operating frequency</t>
    </r>
  </si>
  <si>
    <r>
      <t>This value is at system operating V</t>
    </r>
    <r>
      <rPr>
        <vertAlign val="subscript"/>
        <sz val="10"/>
        <rFont val="Arial"/>
        <family val="2"/>
      </rPr>
      <t>DD</t>
    </r>
    <r>
      <rPr>
        <sz val="10"/>
        <rFont val="Arial"/>
      </rPr>
      <t>* and clock frequency</t>
    </r>
  </si>
  <si>
    <r>
      <t>System V</t>
    </r>
    <r>
      <rPr>
        <vertAlign val="subscript"/>
        <sz val="10"/>
        <rFont val="Frutiger 55 Roman"/>
        <family val="2"/>
      </rPr>
      <t>DD</t>
    </r>
    <r>
      <rPr>
        <sz val="10"/>
        <rFont val="Frutiger 55 Roman"/>
        <family val="2"/>
      </rPr>
      <t xml:space="preserve"> (V</t>
    </r>
    <r>
      <rPr>
        <vertAlign val="subscript"/>
        <sz val="10"/>
        <rFont val="Frutiger 55 Roman"/>
        <family val="2"/>
      </rPr>
      <t>DD1</t>
    </r>
    <r>
      <rPr>
        <sz val="10"/>
        <rFont val="Frutiger 55 Roman"/>
        <family val="2"/>
      </rPr>
      <t>/V</t>
    </r>
    <r>
      <rPr>
        <vertAlign val="subscript"/>
        <sz val="10"/>
        <rFont val="Frutiger 55 Roman"/>
        <family val="2"/>
      </rPr>
      <t>DD2</t>
    </r>
    <r>
      <rPr>
        <sz val="10"/>
        <rFont val="Frutiger 55 Roman"/>
        <family val="2"/>
      </rPr>
      <t>/V</t>
    </r>
    <r>
      <rPr>
        <vertAlign val="subscript"/>
        <sz val="10"/>
        <rFont val="Frutiger 55 Roman"/>
        <family val="2"/>
      </rPr>
      <t>DDQ(CA)</t>
    </r>
    <r>
      <rPr>
        <sz val="10"/>
        <rFont val="Frutiger 55 Roman"/>
        <family val="2"/>
      </rPr>
      <t>)</t>
    </r>
  </si>
  <si>
    <t>Performance Summary</t>
  </si>
  <si>
    <t>Total LPDDR2 SDRAM Power</t>
  </si>
  <si>
    <t>Percentage of time that the DRAM is in the idle state (all banks precharged).</t>
  </si>
  <si>
    <t>System Clock Frequency (MHz)</t>
  </si>
  <si>
    <t>Page Hit Rate</t>
  </si>
  <si>
    <t>Percentage of time that the DRAM is in the active state, but not reading or writing.</t>
  </si>
  <si>
    <t>Percentage of the total active time for which CKE is held LOW.</t>
  </si>
  <si>
    <t>Burst Length</t>
  </si>
  <si>
    <t>Row 5 is the DRAM operating clock frequency in MHz. This is one half of the data rate.</t>
  </si>
  <si>
    <t>Row 6 is the amont of power that is drawn per output while driving data. This is system dependent and must be calcuated. The value may be approximated with a DC calculation or more accurately determined using SPICE models.</t>
  </si>
  <si>
    <t>Row 7 is the burst length used by the controller in normal operation.</t>
  </si>
  <si>
    <t>Row 4 is used to enter the actual system power supply voltages.</t>
  </si>
  <si>
    <t>Row 9 is the page hit rate typical for the memory controller.</t>
  </si>
  <si>
    <t>Row 10 is the percentage of clocks that data is read from the DRAM. This would be equal to the average read bandwidth divided by peak read bandwidth.</t>
  </si>
  <si>
    <t>Row 11 is the percentage of clocks that data is written to the DRAM. This would be equal to the average read bandwidth divided by peak read bandwidth. Note that the read plus write utilization can not be higher than 100%.</t>
  </si>
  <si>
    <t>Row 12 is the average time between ACT commands to the DRAM.  In IDD0 conditions this would be equal to tRC. If the DRAM is being used with interleaving bursts (multiple banks active), it may be less than tRC. If the DRAM is not very active or if the page hit rate is high, it will likely be longer than tRC.  This value is calculated from the page hit rate and burst length, entering a value in this field will override the calculated value.</t>
  </si>
  <si>
    <t>Row 14 is the percentage of time when all banks are in the idle state. This is the total standby time.</t>
  </si>
  <si>
    <t>Row 15 is the percentage of idle time for which the device is in power down.</t>
  </si>
  <si>
    <t>The percentage of the idle time for which the device is in power-down (CKE LOW).</t>
  </si>
  <si>
    <t>The percentage of the idle time for which the device is in deep power-down (DPD).</t>
  </si>
  <si>
    <t>The percentage of the idle time for which the device is in self-refresh.</t>
  </si>
  <si>
    <t>Row 16 is the percentage of idle time for which the device is in deep power down mode.</t>
  </si>
  <si>
    <t>Row 17 is the percentage of idle time for which the device is in self-refresh mode.</t>
  </si>
  <si>
    <t>Row 19 is the percentage of DRAM Active time when CKE is low and the device is in the active power down state.</t>
  </si>
  <si>
    <t>Row 18 is the percentage of time remaining, in which the device is in active mode, but not reading or writing.  This value is 
calculated.</t>
  </si>
  <si>
    <t>p(SREF)</t>
  </si>
  <si>
    <t>Self-Refresh standby power</t>
  </si>
  <si>
    <t>P(SREF)</t>
  </si>
  <si>
    <t>p(DPD)</t>
  </si>
  <si>
    <t>Deep Power-Down standby power</t>
  </si>
  <si>
    <t>P(DPD)</t>
  </si>
  <si>
    <t>equation 18</t>
  </si>
  <si>
    <t>equation 19</t>
  </si>
  <si>
    <t>equation 1</t>
  </si>
  <si>
    <t>equation 2</t>
  </si>
  <si>
    <t>equation 3</t>
  </si>
  <si>
    <t>equation 4</t>
  </si>
  <si>
    <t>Equation 6</t>
  </si>
  <si>
    <t>Equation 11</t>
  </si>
  <si>
    <t>Equation 13</t>
  </si>
  <si>
    <t>Values that may be updated are shown in green. These values are to be updated by the user according to how the system accesses the DRAM.</t>
  </si>
  <si>
    <t>Notes:
1.  Although only BL4, BL8, and BL16 are specified, LPDDR2-S2 may
realize an effective BL2 by using the burst terminate operation.</t>
  </si>
  <si>
    <r>
      <t>Must be 4, 8, or 16 for LPDDR2-S4, or 2, 4, 8, or 16 for LPDDR2-S2</t>
    </r>
    <r>
      <rPr>
        <vertAlign val="superscript"/>
        <sz val="10"/>
        <rFont val="Frutiger 45 Light"/>
        <family val="2"/>
      </rPr>
      <t>1</t>
    </r>
    <r>
      <rPr>
        <sz val="10"/>
        <rFont val="Frutiger 45 Light"/>
        <family val="2"/>
      </rPr>
      <t>.</t>
    </r>
  </si>
  <si>
    <t>This value is calculated, no input required.</t>
  </si>
  <si>
    <t>Detail</t>
  </si>
  <si>
    <t>IDD5</t>
  </si>
  <si>
    <t>Maximum Burst Refresh Current</t>
  </si>
  <si>
    <t>DQs per DRAM</t>
  </si>
  <si>
    <t>x8</t>
  </si>
  <si>
    <t>x16</t>
  </si>
  <si>
    <t>Number of DQ strobes (DQS) per DRAM</t>
  </si>
  <si>
    <t>Number of data mask (DM) per DRAM</t>
  </si>
  <si>
    <t>IDD0</t>
  </si>
  <si>
    <t>Maximum active precharge current</t>
  </si>
  <si>
    <t>IDD2P</t>
  </si>
  <si>
    <t>Maximum precharge power-down standby current</t>
  </si>
  <si>
    <t>IDD2N</t>
  </si>
  <si>
    <t>Maximum precharge standby current</t>
  </si>
  <si>
    <t>IDD3P</t>
  </si>
  <si>
    <t>Maximum active power-down standby current</t>
  </si>
  <si>
    <t>IDD3N</t>
  </si>
  <si>
    <t>Maximum active standby current</t>
  </si>
  <si>
    <t>IDD4R</t>
  </si>
  <si>
    <t>Maximum read burst current</t>
  </si>
  <si>
    <t>IDD4W</t>
  </si>
  <si>
    <t>Maximum write burst current</t>
  </si>
  <si>
    <t>Maximum burst refresh current</t>
  </si>
  <si>
    <r>
      <t>t</t>
    </r>
    <r>
      <rPr>
        <sz val="11"/>
        <rFont val="Arial"/>
        <family val="2"/>
      </rPr>
      <t>CK used for current measurements (see current notes)</t>
    </r>
  </si>
  <si>
    <r>
      <t>t</t>
    </r>
    <r>
      <rPr>
        <sz val="11"/>
        <rFont val="Arial"/>
        <family val="2"/>
      </rPr>
      <t>RRD</t>
    </r>
  </si>
  <si>
    <r>
      <t>t</t>
    </r>
    <r>
      <rPr>
        <sz val="11"/>
        <rFont val="Arial"/>
        <family val="2"/>
      </rPr>
      <t>RC</t>
    </r>
  </si>
  <si>
    <t>Minimum activate-to-activate timing (same bank)</t>
  </si>
  <si>
    <r>
      <t>t</t>
    </r>
    <r>
      <rPr>
        <sz val="11"/>
        <rFont val="Arial"/>
        <family val="2"/>
      </rPr>
      <t>RAS</t>
    </r>
  </si>
  <si>
    <r>
      <t>t</t>
    </r>
    <r>
      <rPr>
        <sz val="11"/>
        <rFont val="Arial"/>
        <family val="2"/>
      </rPr>
      <t>RAS used for IDD0 calculation</t>
    </r>
  </si>
  <si>
    <r>
      <t>t</t>
    </r>
    <r>
      <rPr>
        <sz val="11"/>
        <rFont val="Arial"/>
        <family val="2"/>
      </rPr>
      <t>RFC (MIN)</t>
    </r>
  </si>
  <si>
    <t>Minimum refresh-to-refresh cycle time</t>
  </si>
  <si>
    <r>
      <t>t</t>
    </r>
    <r>
      <rPr>
        <sz val="11"/>
        <rFont val="Arial"/>
        <family val="2"/>
      </rPr>
      <t>REFI</t>
    </r>
  </si>
  <si>
    <t>Average periodic refresh cycle time</t>
  </si>
  <si>
    <t>µs</t>
  </si>
  <si>
    <r>
      <t>t</t>
    </r>
    <r>
      <rPr>
        <sz val="11"/>
        <rFont val="Arial"/>
        <family val="2"/>
      </rPr>
      <t>CK  (MIN)</t>
    </r>
  </si>
  <si>
    <r>
      <t xml:space="preserve">Minimum </t>
    </r>
    <r>
      <rPr>
        <vertAlign val="superscript"/>
        <sz val="11"/>
        <rFont val="Arial"/>
        <family val="2"/>
      </rPr>
      <t>t</t>
    </r>
    <r>
      <rPr>
        <sz val="11"/>
        <rFont val="Arial"/>
        <family val="2"/>
      </rPr>
      <t>CK cycle rate</t>
    </r>
  </si>
  <si>
    <r>
      <t>t</t>
    </r>
    <r>
      <rPr>
        <sz val="11"/>
        <rFont val="Arial"/>
        <family val="2"/>
      </rPr>
      <t xml:space="preserve">CK </t>
    </r>
    <r>
      <rPr>
        <vertAlign val="superscript"/>
        <sz val="11"/>
        <rFont val="Arial"/>
        <family val="2"/>
      </rPr>
      <t xml:space="preserve"> </t>
    </r>
    <r>
      <rPr>
        <sz val="11"/>
        <rFont val="Arial"/>
        <family val="2"/>
      </rPr>
      <t>(MAX)</t>
    </r>
  </si>
  <si>
    <r>
      <t xml:space="preserve">Maximum </t>
    </r>
    <r>
      <rPr>
        <vertAlign val="superscript"/>
        <sz val="11"/>
        <rFont val="Arial"/>
        <family val="2"/>
      </rPr>
      <t>t</t>
    </r>
    <r>
      <rPr>
        <sz val="11"/>
        <rFont val="Arial"/>
        <family val="2"/>
      </rPr>
      <t>CK cycle rate</t>
    </r>
  </si>
  <si>
    <t>-25</t>
  </si>
  <si>
    <t>-3</t>
  </si>
  <si>
    <t>Maximum VDD</t>
  </si>
  <si>
    <t>Minimum VDD</t>
  </si>
  <si>
    <t>TBD</t>
  </si>
  <si>
    <t>Maximum active power-down standby current (fast Exit)</t>
  </si>
  <si>
    <r>
      <t>t</t>
    </r>
    <r>
      <rPr>
        <sz val="11"/>
        <rFont val="Arial"/>
        <family val="2"/>
      </rPr>
      <t>CK (MAX)</t>
    </r>
  </si>
  <si>
    <t>Maximum Active Precharge Current</t>
  </si>
  <si>
    <r>
      <t>t</t>
    </r>
    <r>
      <rPr>
        <sz val="10"/>
        <rFont val="Arial"/>
        <family val="2"/>
      </rPr>
      <t>CK used for current measurements (see current notes)</t>
    </r>
  </si>
  <si>
    <r>
      <t>t</t>
    </r>
    <r>
      <rPr>
        <sz val="10"/>
        <rFont val="Arial"/>
        <family val="2"/>
      </rPr>
      <t>RRD</t>
    </r>
  </si>
  <si>
    <r>
      <t>t</t>
    </r>
    <r>
      <rPr>
        <sz val="10"/>
        <rFont val="Arial"/>
        <family val="2"/>
      </rPr>
      <t>RC</t>
    </r>
  </si>
  <si>
    <r>
      <t>t</t>
    </r>
    <r>
      <rPr>
        <sz val="10"/>
        <rFont val="Arial"/>
        <family val="2"/>
      </rPr>
      <t>RAS</t>
    </r>
  </si>
  <si>
    <t>tRAS used for IDD0 Calcualtion</t>
  </si>
  <si>
    <r>
      <t>t</t>
    </r>
    <r>
      <rPr>
        <sz val="10"/>
        <rFont val="Arial"/>
        <family val="2"/>
      </rPr>
      <t>RFC(min)</t>
    </r>
  </si>
  <si>
    <t>Minimum refresh to refresh cycle time</t>
  </si>
  <si>
    <r>
      <t>t</t>
    </r>
    <r>
      <rPr>
        <sz val="10"/>
        <rFont val="Arial"/>
        <family val="2"/>
      </rPr>
      <t>REFI</t>
    </r>
  </si>
  <si>
    <t>tCK(min)</t>
  </si>
  <si>
    <r>
      <t xml:space="preserve">Minimum </t>
    </r>
    <r>
      <rPr>
        <vertAlign val="superscript"/>
        <sz val="10"/>
        <rFont val="Arial"/>
        <family val="2"/>
      </rPr>
      <t>t</t>
    </r>
    <r>
      <rPr>
        <sz val="10"/>
        <rFont val="Arial"/>
        <family val="2"/>
      </rPr>
      <t>CK cycle rate</t>
    </r>
  </si>
  <si>
    <t>tCK(max)</t>
  </si>
  <si>
    <r>
      <t xml:space="preserve">Maximum </t>
    </r>
    <r>
      <rPr>
        <vertAlign val="superscript"/>
        <sz val="10"/>
        <rFont val="Arial"/>
        <family val="2"/>
      </rPr>
      <t>t</t>
    </r>
    <r>
      <rPr>
        <sz val="10"/>
        <rFont val="Arial"/>
        <family val="2"/>
      </rPr>
      <t>CK cycle rate</t>
    </r>
  </si>
  <si>
    <t>Initial numbers are for reference only and must be verified with existing DRAM data sheets for accuracy prior to using the spreadsheet.</t>
  </si>
  <si>
    <t>-18</t>
  </si>
  <si>
    <t>-37</t>
  </si>
  <si>
    <t>-5</t>
  </si>
  <si>
    <t>VDD1</t>
  </si>
  <si>
    <t>VDD2</t>
  </si>
  <si>
    <t>VDDQ/VDDCA</t>
  </si>
  <si>
    <t>Maximum VDDQ/CA</t>
  </si>
  <si>
    <t>Minimum VDDQ/CA</t>
  </si>
  <si>
    <t>Minimum VDD2</t>
  </si>
  <si>
    <t>Maximum VDD2</t>
  </si>
  <si>
    <t>Minimum VDD1</t>
  </si>
  <si>
    <t>Maximum VDD1</t>
  </si>
  <si>
    <t>x32</t>
  </si>
  <si>
    <t>IDD01</t>
  </si>
  <si>
    <t>IDD2P1</t>
  </si>
  <si>
    <t>IDD2N1</t>
  </si>
  <si>
    <t>IDD3N1</t>
  </si>
  <si>
    <t>IDD4R1</t>
  </si>
  <si>
    <t>IDD4W1</t>
  </si>
  <si>
    <t>IDD5A1</t>
  </si>
  <si>
    <t>LPDDR2 SDRAM Configuration</t>
  </si>
  <si>
    <t>IDD02</t>
  </si>
  <si>
    <t>IDD2P2</t>
  </si>
  <si>
    <t>IDD2N2</t>
  </si>
  <si>
    <t>IDD3P2</t>
  </si>
  <si>
    <t>IDD3N2</t>
  </si>
  <si>
    <t>IDD4R2</t>
  </si>
  <si>
    <t>IDD4W2</t>
  </si>
  <si>
    <t>IDD5A2</t>
  </si>
  <si>
    <t>IDD0IN</t>
  </si>
  <si>
    <t>IDD2NIN</t>
  </si>
  <si>
    <t>IDD3NIN</t>
  </si>
  <si>
    <t>IDD4RIN</t>
  </si>
  <si>
    <t>IDD4WIN</t>
  </si>
  <si>
    <t>IDD3P1</t>
  </si>
  <si>
    <t>DQS per DRAM</t>
  </si>
  <si>
    <t>DM per DRAM</t>
  </si>
  <si>
    <t>IDD2PS1</t>
  </si>
  <si>
    <t>Maximum precharge power-down standby current, clock stopped</t>
  </si>
  <si>
    <t>IDD2PS2</t>
  </si>
  <si>
    <t>IDD2PS,IN</t>
  </si>
  <si>
    <t>IDD3P,IN</t>
  </si>
  <si>
    <t>IDD2P,IN</t>
  </si>
  <si>
    <t>IDD3PS2</t>
  </si>
  <si>
    <t>Maximum active power-down standby current (fast Exit), clock stopped</t>
  </si>
  <si>
    <t>IDD3PS,IN</t>
  </si>
  <si>
    <t>IDD3PS1</t>
  </si>
  <si>
    <t>Maximum self-refresh current</t>
  </si>
  <si>
    <t>IDD61</t>
  </si>
  <si>
    <t>IDD81</t>
  </si>
  <si>
    <t>Maximum deep power-down current</t>
  </si>
  <si>
    <t>IDD62</t>
  </si>
  <si>
    <t>IDD82</t>
  </si>
  <si>
    <t>IDD6IN</t>
  </si>
  <si>
    <t>IDD8IN</t>
  </si>
  <si>
    <t>IDD2PS</t>
  </si>
  <si>
    <t>IDD3PS</t>
  </si>
  <si>
    <t>Maximum active power-down standby current, clock stopped</t>
  </si>
  <si>
    <t>VDD1
Value</t>
  </si>
  <si>
    <t>VDD2 
Value</t>
  </si>
  <si>
    <t>VDDIN 
Value</t>
  </si>
  <si>
    <t>VDD</t>
  </si>
  <si>
    <t>clock</t>
  </si>
  <si>
    <t>n/a</t>
  </si>
  <si>
    <t>Maximum VDDIN</t>
  </si>
  <si>
    <t>Minimum VDDIN</t>
  </si>
  <si>
    <t>VDDIN</t>
  </si>
  <si>
    <r>
      <t>I</t>
    </r>
    <r>
      <rPr>
        <sz val="8"/>
        <rFont val="Arial"/>
        <family val="2"/>
      </rPr>
      <t>DD</t>
    </r>
    <r>
      <rPr>
        <sz val="10"/>
        <rFont val="Arial"/>
        <family val="2"/>
      </rPr>
      <t>01</t>
    </r>
  </si>
  <si>
    <r>
      <t>I</t>
    </r>
    <r>
      <rPr>
        <sz val="8"/>
        <rFont val="Arial"/>
        <family val="2"/>
      </rPr>
      <t>DD</t>
    </r>
    <r>
      <rPr>
        <sz val="10"/>
        <rFont val="Arial"/>
        <family val="2"/>
      </rPr>
      <t>2P1</t>
    </r>
  </si>
  <si>
    <r>
      <t>I</t>
    </r>
    <r>
      <rPr>
        <sz val="8"/>
        <rFont val="Arial"/>
        <family val="2"/>
      </rPr>
      <t>DD</t>
    </r>
    <r>
      <rPr>
        <sz val="10"/>
        <rFont val="Arial"/>
        <family val="2"/>
      </rPr>
      <t>2PS1</t>
    </r>
  </si>
  <si>
    <r>
      <t>I</t>
    </r>
    <r>
      <rPr>
        <sz val="8"/>
        <rFont val="Arial"/>
        <family val="2"/>
      </rPr>
      <t>DD</t>
    </r>
    <r>
      <rPr>
        <sz val="10"/>
        <rFont val="Arial"/>
        <family val="2"/>
      </rPr>
      <t>2N1</t>
    </r>
  </si>
  <si>
    <r>
      <t>I</t>
    </r>
    <r>
      <rPr>
        <sz val="8"/>
        <rFont val="Arial"/>
        <family val="2"/>
      </rPr>
      <t>DD</t>
    </r>
    <r>
      <rPr>
        <sz val="10"/>
        <rFont val="Arial"/>
        <family val="2"/>
      </rPr>
      <t>3P1</t>
    </r>
  </si>
  <si>
    <r>
      <t>I</t>
    </r>
    <r>
      <rPr>
        <sz val="8"/>
        <rFont val="Arial"/>
        <family val="2"/>
      </rPr>
      <t>DD</t>
    </r>
    <r>
      <rPr>
        <sz val="10"/>
        <rFont val="Arial"/>
        <family val="2"/>
      </rPr>
      <t>3PS1</t>
    </r>
  </si>
  <si>
    <r>
      <t>I</t>
    </r>
    <r>
      <rPr>
        <sz val="8"/>
        <rFont val="Arial"/>
        <family val="2"/>
      </rPr>
      <t>DD</t>
    </r>
    <r>
      <rPr>
        <sz val="10"/>
        <rFont val="Arial"/>
        <family val="2"/>
      </rPr>
      <t>3N1</t>
    </r>
  </si>
  <si>
    <r>
      <t>I</t>
    </r>
    <r>
      <rPr>
        <sz val="8"/>
        <rFont val="Arial"/>
        <family val="2"/>
      </rPr>
      <t>DD</t>
    </r>
    <r>
      <rPr>
        <sz val="10"/>
        <rFont val="Arial"/>
        <family val="2"/>
      </rPr>
      <t>4R1</t>
    </r>
  </si>
  <si>
    <r>
      <t>I</t>
    </r>
    <r>
      <rPr>
        <sz val="8"/>
        <rFont val="Arial"/>
        <family val="2"/>
      </rPr>
      <t>DD</t>
    </r>
    <r>
      <rPr>
        <sz val="10"/>
        <rFont val="Arial"/>
        <family val="2"/>
      </rPr>
      <t>4W1</t>
    </r>
  </si>
  <si>
    <r>
      <t>I</t>
    </r>
    <r>
      <rPr>
        <sz val="8"/>
        <rFont val="Arial"/>
        <family val="2"/>
      </rPr>
      <t>DD</t>
    </r>
    <r>
      <rPr>
        <sz val="10"/>
        <rFont val="Arial"/>
        <family val="2"/>
      </rPr>
      <t>02</t>
    </r>
  </si>
  <si>
    <r>
      <t>I</t>
    </r>
    <r>
      <rPr>
        <sz val="8"/>
        <rFont val="Arial"/>
        <family val="2"/>
      </rPr>
      <t>DD</t>
    </r>
    <r>
      <rPr>
        <sz val="10"/>
        <rFont val="Arial"/>
        <family val="2"/>
      </rPr>
      <t>2P2</t>
    </r>
  </si>
  <si>
    <r>
      <t>I</t>
    </r>
    <r>
      <rPr>
        <sz val="8"/>
        <rFont val="Arial"/>
        <family val="2"/>
      </rPr>
      <t>DD</t>
    </r>
    <r>
      <rPr>
        <sz val="10"/>
        <rFont val="Arial"/>
        <family val="2"/>
      </rPr>
      <t>2PS2</t>
    </r>
  </si>
  <si>
    <r>
      <t>I</t>
    </r>
    <r>
      <rPr>
        <sz val="8"/>
        <rFont val="Arial"/>
        <family val="2"/>
      </rPr>
      <t>DD</t>
    </r>
    <r>
      <rPr>
        <sz val="10"/>
        <rFont val="Arial"/>
        <family val="2"/>
      </rPr>
      <t>2N2</t>
    </r>
  </si>
  <si>
    <r>
      <t>I</t>
    </r>
    <r>
      <rPr>
        <sz val="8"/>
        <rFont val="Arial"/>
        <family val="2"/>
      </rPr>
      <t>DD</t>
    </r>
    <r>
      <rPr>
        <sz val="10"/>
        <rFont val="Arial"/>
        <family val="2"/>
      </rPr>
      <t>3P2</t>
    </r>
  </si>
  <si>
    <r>
      <t>I</t>
    </r>
    <r>
      <rPr>
        <sz val="8"/>
        <rFont val="Arial"/>
        <family val="2"/>
      </rPr>
      <t>DD</t>
    </r>
    <r>
      <rPr>
        <sz val="10"/>
        <rFont val="Arial"/>
        <family val="2"/>
      </rPr>
      <t>3PS2</t>
    </r>
  </si>
  <si>
    <r>
      <t>I</t>
    </r>
    <r>
      <rPr>
        <sz val="8"/>
        <rFont val="Arial"/>
        <family val="2"/>
      </rPr>
      <t>DD</t>
    </r>
    <r>
      <rPr>
        <sz val="10"/>
        <rFont val="Arial"/>
        <family val="2"/>
      </rPr>
      <t>3N2</t>
    </r>
  </si>
  <si>
    <r>
      <t>I</t>
    </r>
    <r>
      <rPr>
        <sz val="8"/>
        <rFont val="Arial"/>
        <family val="2"/>
      </rPr>
      <t>DD</t>
    </r>
    <r>
      <rPr>
        <sz val="10"/>
        <rFont val="Arial"/>
        <family val="2"/>
      </rPr>
      <t>4R2</t>
    </r>
  </si>
  <si>
    <r>
      <t>I</t>
    </r>
    <r>
      <rPr>
        <sz val="8"/>
        <rFont val="Arial"/>
        <family val="2"/>
      </rPr>
      <t>DD</t>
    </r>
    <r>
      <rPr>
        <sz val="10"/>
        <rFont val="Arial"/>
        <family val="2"/>
      </rPr>
      <t>4W2</t>
    </r>
  </si>
  <si>
    <r>
      <t>I</t>
    </r>
    <r>
      <rPr>
        <sz val="8"/>
        <rFont val="Arial"/>
        <family val="2"/>
      </rPr>
      <t>DD</t>
    </r>
    <r>
      <rPr>
        <sz val="10"/>
        <rFont val="Arial"/>
        <family val="2"/>
      </rPr>
      <t>0in</t>
    </r>
  </si>
  <si>
    <r>
      <t>I</t>
    </r>
    <r>
      <rPr>
        <sz val="8"/>
        <rFont val="Arial"/>
        <family val="2"/>
      </rPr>
      <t>DD</t>
    </r>
    <r>
      <rPr>
        <sz val="10"/>
        <rFont val="Arial"/>
        <family val="2"/>
      </rPr>
      <t>2Pin</t>
    </r>
  </si>
  <si>
    <r>
      <t>I</t>
    </r>
    <r>
      <rPr>
        <sz val="8"/>
        <rFont val="Arial"/>
        <family val="2"/>
      </rPr>
      <t>DD</t>
    </r>
    <r>
      <rPr>
        <sz val="10"/>
        <rFont val="Arial"/>
        <family val="2"/>
      </rPr>
      <t>2PSin</t>
    </r>
  </si>
  <si>
    <r>
      <t>I</t>
    </r>
    <r>
      <rPr>
        <sz val="8"/>
        <rFont val="Arial"/>
        <family val="2"/>
      </rPr>
      <t>DD</t>
    </r>
    <r>
      <rPr>
        <sz val="10"/>
        <rFont val="Arial"/>
        <family val="2"/>
      </rPr>
      <t>2Nin</t>
    </r>
  </si>
  <si>
    <r>
      <t>I</t>
    </r>
    <r>
      <rPr>
        <sz val="8"/>
        <rFont val="Arial"/>
        <family val="2"/>
      </rPr>
      <t>DD</t>
    </r>
    <r>
      <rPr>
        <sz val="10"/>
        <rFont val="Arial"/>
        <family val="2"/>
      </rPr>
      <t>3Pin</t>
    </r>
  </si>
  <si>
    <r>
      <t>I</t>
    </r>
    <r>
      <rPr>
        <sz val="8"/>
        <rFont val="Arial"/>
        <family val="2"/>
      </rPr>
      <t>DD</t>
    </r>
    <r>
      <rPr>
        <sz val="10"/>
        <rFont val="Arial"/>
        <family val="2"/>
      </rPr>
      <t>3PSin</t>
    </r>
  </si>
  <si>
    <r>
      <t>I</t>
    </r>
    <r>
      <rPr>
        <sz val="8"/>
        <rFont val="Arial"/>
        <family val="2"/>
      </rPr>
      <t>DD</t>
    </r>
    <r>
      <rPr>
        <sz val="10"/>
        <rFont val="Arial"/>
        <family val="2"/>
      </rPr>
      <t>3Nin</t>
    </r>
  </si>
  <si>
    <r>
      <t>I</t>
    </r>
    <r>
      <rPr>
        <sz val="8"/>
        <rFont val="Arial"/>
        <family val="2"/>
      </rPr>
      <t>DD</t>
    </r>
    <r>
      <rPr>
        <sz val="10"/>
        <rFont val="Arial"/>
        <family val="2"/>
      </rPr>
      <t>4Rin</t>
    </r>
  </si>
  <si>
    <r>
      <t>I</t>
    </r>
    <r>
      <rPr>
        <sz val="8"/>
        <rFont val="Arial"/>
        <family val="2"/>
      </rPr>
      <t>DD</t>
    </r>
    <r>
      <rPr>
        <sz val="10"/>
        <rFont val="Arial"/>
        <family val="2"/>
      </rPr>
      <t>4Win</t>
    </r>
  </si>
  <si>
    <t>IDD5Ain</t>
  </si>
  <si>
    <t>IDD6in</t>
  </si>
  <si>
    <t>IDDin</t>
  </si>
  <si>
    <r>
      <t>Power Scaled for Actual System CK Frequency and V</t>
    </r>
    <r>
      <rPr>
        <sz val="8"/>
        <color indexed="9"/>
        <rFont val="Frutiger 55 Roman"/>
        <family val="2"/>
      </rPr>
      <t>DD</t>
    </r>
  </si>
  <si>
    <t>256Mb S4</t>
  </si>
  <si>
    <t>512Mb S4</t>
  </si>
  <si>
    <t>1Gb S4</t>
  </si>
  <si>
    <t>2Gb S4</t>
  </si>
  <si>
    <t>4Gb S4</t>
  </si>
  <si>
    <t>LPDDR2 SDRAM Density &amp; Type</t>
  </si>
  <si>
    <t>Number of DQs per DRAM (width)</t>
  </si>
  <si>
    <t>System Power Calculations</t>
  </si>
  <si>
    <r>
      <t>Power is calculated after after scaling for system V</t>
    </r>
    <r>
      <rPr>
        <vertAlign val="subscript"/>
        <sz val="8"/>
        <rFont val="Frutiger 55 Roman"/>
        <family val="2"/>
      </rPr>
      <t>DD</t>
    </r>
    <r>
      <rPr>
        <sz val="10"/>
        <rFont val="Frutiger 55 Roman"/>
        <family val="2"/>
      </rPr>
      <t>.  Next, some powers are scaled for frequency effects to derate from test condition to use condition.  Finally, these numbers are scaled for actual system usage. All parameters are calculated and require no user input.</t>
    </r>
  </si>
  <si>
    <t>Number of DQ per DRAM</t>
  </si>
  <si>
    <t>density</t>
  </si>
  <si>
    <t>spd grd</t>
  </si>
  <si>
    <r>
      <t xml:space="preserve">Device Config tab </t>
    </r>
    <r>
      <rPr>
        <b/>
        <sz val="12"/>
        <color indexed="10"/>
        <rFont val="Arial"/>
        <family val="2"/>
      </rPr>
      <t>(ALL MUST BE VERIFIED FOR A SPECIFIC LPDDR2 DRAM DATASHEET)</t>
    </r>
  </si>
  <si>
    <t>Select the device density, width, and speed grade from the pull down menus.</t>
  </si>
  <si>
    <t>Verify the data matches the most recent datasheet.</t>
  </si>
  <si>
    <t>IDD51</t>
  </si>
  <si>
    <t>IDD52</t>
  </si>
  <si>
    <t>IDD5IN</t>
  </si>
  <si>
    <t>rev 0.2 updated IDD specifications per current datasheets</t>
  </si>
  <si>
    <r>
      <t>This value is the output driver power per DQ on the DRAM in mW.  It is specific to each system design and must be calculated based on the termination scheme. See application note for more information.  For point-to-point termination power is typically calculated using the equation P=1/2CV</t>
    </r>
    <r>
      <rPr>
        <vertAlign val="superscript"/>
        <sz val="10"/>
        <rFont val="Frutiger 45 Light"/>
        <family val="2"/>
      </rPr>
      <t>2</t>
    </r>
    <r>
      <rPr>
        <sz val="10"/>
        <rFont val="Frutiger 45 Light"/>
        <family val="2"/>
      </rPr>
      <t>f.</t>
    </r>
  </si>
  <si>
    <t>Percentage of time that the inactive DRAM is in active power-down mode (CKE LOW).</t>
  </si>
  <si>
    <t>Percentage of time that the inactive DRAM is in precharge power-down mode (CKE LOW).</t>
  </si>
  <si>
    <t>Percentage of time that the inactive DRAM is in self-refresh.</t>
  </si>
  <si>
    <t>Usage conditions for second DRAM device on same channel.  (For example, multi-die PoP packages with 2 CS#/CKE per channel)</t>
  </si>
  <si>
    <t>Number of DRAMs per channel (no. of CS#/CKE pairs)</t>
  </si>
  <si>
    <t>die/channel</t>
  </si>
  <si>
    <t>Percentage of time that the inactive DRAM is in precharge standby mode (CKE HIGH).</t>
  </si>
  <si>
    <t>Percentage of time that the inactive DRAM is in active standby mode (CKE HIGH).</t>
  </si>
  <si>
    <t>LPDDR2_Power_Calc_03.XLS</t>
  </si>
  <si>
    <t>rev 0.3 Added multi-channel usage conditions and power calcs</t>
  </si>
  <si>
    <t>rev 0.4 updated IDD specifications per datasheet Rev.D; added 4Gb specifications.</t>
  </si>
  <si>
    <t>rev 0.5 updated IDD specifications per datasheet Rev. G; corrected pdwn_sby and pref measurements to exclude sref/dpd time.</t>
  </si>
  <si>
    <t>rev 0.6 updated IDD specifications per datasheet Rev. N. Also, on the Usage Condition tab cell C7 fixed the formula that the total power will change automatically when the user changes the frequency. Also, changed the cell C7_C8_C9 from green to white.</t>
  </si>
</sst>
</file>

<file path=xl/styles.xml><?xml version="1.0" encoding="utf-8"?>
<styleSheet xmlns="http://schemas.openxmlformats.org/spreadsheetml/2006/main">
  <numFmts count="4">
    <numFmt numFmtId="43" formatCode="_(* #,##0.00_);_(* \(#,##0.00\);_(* &quot;-&quot;??_);_(@_)"/>
    <numFmt numFmtId="164" formatCode="0.0"/>
    <numFmt numFmtId="165" formatCode="mmmm\ d\,\ yyyy"/>
    <numFmt numFmtId="166" formatCode="_(* #,##0_);_(* \(#,##0\);_(* &quot;-&quot;??_);_(@_)"/>
  </numFmts>
  <fonts count="42">
    <font>
      <sz val="10"/>
      <name val="Arial"/>
    </font>
    <font>
      <sz val="10"/>
      <name val="Arial"/>
    </font>
    <font>
      <b/>
      <sz val="10"/>
      <name val="Arial"/>
      <family val="2"/>
    </font>
    <font>
      <b/>
      <sz val="10"/>
      <color indexed="9"/>
      <name val="Arial"/>
      <family val="2"/>
    </font>
    <font>
      <b/>
      <i/>
      <sz val="10"/>
      <name val="Arial"/>
      <family val="2"/>
    </font>
    <font>
      <sz val="10"/>
      <name val="Arial"/>
      <family val="2"/>
    </font>
    <font>
      <sz val="10"/>
      <name val="Frutiger 55 Roman"/>
      <family val="2"/>
    </font>
    <font>
      <b/>
      <sz val="10"/>
      <name val="Frutiger 55 Roman"/>
      <family val="2"/>
    </font>
    <font>
      <b/>
      <i/>
      <sz val="16"/>
      <name val="Frutiger 55 Roman"/>
      <family val="2"/>
    </font>
    <font>
      <b/>
      <sz val="10"/>
      <color indexed="9"/>
      <name val="Frutiger 55 Roman"/>
      <family val="2"/>
    </font>
    <font>
      <sz val="10"/>
      <color indexed="10"/>
      <name val="Frutiger 55 Roman"/>
      <family val="2"/>
    </font>
    <font>
      <sz val="10"/>
      <name val="Frutiger 45 Light"/>
      <family val="2"/>
    </font>
    <font>
      <sz val="8"/>
      <name val="Frutiger 55 Roman"/>
      <family val="2"/>
    </font>
    <font>
      <b/>
      <sz val="10"/>
      <name val="Symbol"/>
      <family val="1"/>
      <charset val="2"/>
    </font>
    <font>
      <u/>
      <sz val="10"/>
      <color indexed="12"/>
      <name val="Arial"/>
    </font>
    <font>
      <b/>
      <u/>
      <sz val="14"/>
      <name val="Arial"/>
      <family val="2"/>
    </font>
    <font>
      <b/>
      <sz val="12"/>
      <name val="Arial"/>
      <family val="2"/>
    </font>
    <font>
      <b/>
      <sz val="12"/>
      <color indexed="10"/>
      <name val="Arial"/>
      <family val="2"/>
    </font>
    <font>
      <vertAlign val="subscript"/>
      <sz val="10"/>
      <name val="Frutiger 55 Roman"/>
      <family val="2"/>
    </font>
    <font>
      <vertAlign val="subscript"/>
      <sz val="10"/>
      <name val="Arial"/>
      <family val="2"/>
    </font>
    <font>
      <vertAlign val="subscript"/>
      <sz val="8"/>
      <name val="Frutiger 55 Roman"/>
      <family val="2"/>
    </font>
    <font>
      <sz val="10"/>
      <color indexed="10"/>
      <name val="Frutiger 45 Light"/>
      <family val="2"/>
    </font>
    <font>
      <sz val="10"/>
      <color indexed="9"/>
      <name val="Frutiger 55 Roman"/>
      <family val="2"/>
    </font>
    <font>
      <vertAlign val="superscript"/>
      <sz val="10"/>
      <name val="Frutiger 45 Light"/>
      <family val="2"/>
    </font>
    <font>
      <b/>
      <i/>
      <sz val="10"/>
      <color indexed="10"/>
      <name val="Arial"/>
      <family val="2"/>
    </font>
    <font>
      <sz val="11"/>
      <name val="Arial"/>
      <family val="2"/>
    </font>
    <font>
      <b/>
      <sz val="11"/>
      <color indexed="9"/>
      <name val="Arial"/>
      <family val="2"/>
    </font>
    <font>
      <sz val="11"/>
      <color indexed="8"/>
      <name val="Arial"/>
      <family val="2"/>
    </font>
    <font>
      <vertAlign val="superscript"/>
      <sz val="11"/>
      <name val="Arial"/>
      <family val="2"/>
    </font>
    <font>
      <b/>
      <sz val="10"/>
      <color indexed="9"/>
      <name val="Arial"/>
    </font>
    <font>
      <b/>
      <sz val="10"/>
      <color indexed="8"/>
      <name val="Arial"/>
      <family val="2"/>
    </font>
    <font>
      <sz val="10"/>
      <color indexed="8"/>
      <name val="Arial"/>
      <family val="2"/>
    </font>
    <font>
      <sz val="11"/>
      <color indexed="9"/>
      <name val="Arial"/>
      <family val="2"/>
    </font>
    <font>
      <sz val="8"/>
      <name val="Arial"/>
      <family val="2"/>
    </font>
    <font>
      <vertAlign val="superscript"/>
      <sz val="10"/>
      <name val="Arial"/>
      <family val="2"/>
    </font>
    <font>
      <sz val="8"/>
      <color indexed="9"/>
      <name val="Frutiger 55 Roman"/>
      <family val="2"/>
    </font>
    <font>
      <sz val="10"/>
      <color rgb="FFFF0000"/>
      <name val="Frutiger 45 Light"/>
      <family val="2"/>
    </font>
    <font>
      <sz val="10"/>
      <color theme="0"/>
      <name val="Frutiger 55 Roman"/>
      <family val="2"/>
    </font>
    <font>
      <b/>
      <sz val="18"/>
      <color rgb="FF003366"/>
      <name val="Arial"/>
      <family val="2"/>
    </font>
    <font>
      <sz val="18"/>
      <color rgb="FF003366"/>
      <name val="B Frutiger Bold"/>
    </font>
    <font>
      <b/>
      <i/>
      <sz val="16"/>
      <color rgb="FF003366"/>
      <name val="Frutiger 55 Roman"/>
      <family val="2"/>
    </font>
    <font>
      <sz val="10"/>
      <color theme="1"/>
      <name val="Frutiger 55 Roman"/>
      <family val="2"/>
    </font>
  </fonts>
  <fills count="10">
    <fill>
      <patternFill patternType="none"/>
    </fill>
    <fill>
      <patternFill patternType="gray125"/>
    </fill>
    <fill>
      <patternFill patternType="solid">
        <fgColor indexed="51"/>
        <bgColor indexed="64"/>
      </patternFill>
    </fill>
    <fill>
      <patternFill patternType="solid">
        <fgColor indexed="42"/>
        <bgColor indexed="64"/>
      </patternFill>
    </fill>
    <fill>
      <patternFill patternType="solid">
        <fgColor indexed="57"/>
        <bgColor indexed="64"/>
      </patternFill>
    </fill>
    <fill>
      <patternFill patternType="solid">
        <fgColor indexed="22"/>
        <bgColor indexed="64"/>
      </patternFill>
    </fill>
    <fill>
      <patternFill patternType="solid">
        <fgColor indexed="44"/>
        <bgColor indexed="64"/>
      </patternFill>
    </fill>
    <fill>
      <patternFill patternType="solid">
        <fgColor rgb="FF006666"/>
        <bgColor indexed="64"/>
      </patternFill>
    </fill>
    <fill>
      <patternFill patternType="solid">
        <fgColor rgb="FF003366"/>
        <bgColor indexed="64"/>
      </patternFill>
    </fill>
    <fill>
      <patternFill patternType="solid">
        <fgColor theme="0"/>
        <bgColor indexed="64"/>
      </patternFill>
    </fill>
  </fills>
  <borders count="48">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4">
    <xf numFmtId="0" fontId="0" fillId="0" borderId="0"/>
    <xf numFmtId="43" fontId="1" fillId="0" borderId="0" applyFont="0" applyFill="0" applyBorder="0" applyAlignment="0" applyProtection="0"/>
    <xf numFmtId="0" fontId="14" fillId="0" borderId="0" applyNumberFormat="0" applyFill="0" applyBorder="0" applyAlignment="0" applyProtection="0">
      <alignment vertical="top"/>
      <protection locked="0"/>
    </xf>
    <xf numFmtId="9" fontId="1" fillId="0" borderId="0" applyFont="0" applyFill="0" applyBorder="0" applyAlignment="0" applyProtection="0"/>
  </cellStyleXfs>
  <cellXfs count="255">
    <xf numFmtId="0" fontId="0" fillId="0" borderId="0" xfId="0"/>
    <xf numFmtId="0" fontId="0" fillId="0" borderId="0" xfId="0" quotePrefix="1"/>
    <xf numFmtId="164" fontId="0" fillId="0" borderId="0" xfId="0" applyNumberFormat="1"/>
    <xf numFmtId="0" fontId="0" fillId="0" borderId="1" xfId="0" applyBorder="1"/>
    <xf numFmtId="0" fontId="0" fillId="0" borderId="0" xfId="0" applyBorder="1"/>
    <xf numFmtId="9" fontId="0" fillId="0" borderId="0" xfId="0" applyNumberFormat="1"/>
    <xf numFmtId="0" fontId="0" fillId="0" borderId="0" xfId="0" applyAlignment="1">
      <alignment vertical="top"/>
    </xf>
    <xf numFmtId="0" fontId="0" fillId="0" borderId="0" xfId="0" applyAlignment="1">
      <alignment horizontal="center" vertical="top"/>
    </xf>
    <xf numFmtId="0" fontId="0" fillId="0" borderId="0" xfId="0" applyAlignment="1"/>
    <xf numFmtId="0" fontId="2" fillId="0" borderId="0" xfId="0" applyFont="1" applyAlignment="1"/>
    <xf numFmtId="164" fontId="0" fillId="0" borderId="0" xfId="0" applyNumberFormat="1" applyAlignment="1"/>
    <xf numFmtId="0" fontId="5" fillId="0" borderId="0" xfId="0" applyFont="1" applyAlignment="1">
      <alignment horizontal="center" vertical="center" wrapText="1"/>
    </xf>
    <xf numFmtId="0" fontId="6" fillId="0" borderId="2" xfId="0" applyFont="1" applyBorder="1"/>
    <xf numFmtId="164" fontId="6" fillId="0" borderId="2" xfId="0" applyNumberFormat="1" applyFont="1" applyBorder="1"/>
    <xf numFmtId="0" fontId="6" fillId="0" borderId="3" xfId="0" applyFont="1" applyBorder="1"/>
    <xf numFmtId="0" fontId="6" fillId="0" borderId="4" xfId="0" applyFont="1" applyBorder="1"/>
    <xf numFmtId="164" fontId="6" fillId="0" borderId="4" xfId="0" applyNumberFormat="1" applyFont="1" applyBorder="1"/>
    <xf numFmtId="0" fontId="6" fillId="0" borderId="5" xfId="0" applyFont="1" applyBorder="1"/>
    <xf numFmtId="0" fontId="6" fillId="0" borderId="6" xfId="0" applyFont="1" applyBorder="1"/>
    <xf numFmtId="0" fontId="6" fillId="0" borderId="7" xfId="0" applyFont="1" applyBorder="1"/>
    <xf numFmtId="0" fontId="6" fillId="0" borderId="0" xfId="0" applyFont="1" applyBorder="1"/>
    <xf numFmtId="164" fontId="6" fillId="0" borderId="0" xfId="0" applyNumberFormat="1" applyFont="1" applyBorder="1"/>
    <xf numFmtId="0" fontId="7" fillId="0" borderId="0" xfId="0" applyFont="1" applyBorder="1"/>
    <xf numFmtId="0" fontId="6" fillId="0" borderId="8" xfId="0" applyFont="1" applyBorder="1"/>
    <xf numFmtId="0" fontId="6" fillId="0" borderId="9" xfId="0" applyFont="1" applyBorder="1"/>
    <xf numFmtId="0" fontId="7" fillId="2" borderId="9" xfId="0" applyFont="1" applyFill="1" applyBorder="1"/>
    <xf numFmtId="0" fontId="6" fillId="2" borderId="8" xfId="0" applyFont="1" applyFill="1" applyBorder="1"/>
    <xf numFmtId="164" fontId="7" fillId="2" borderId="2" xfId="0" applyNumberFormat="1" applyFont="1" applyFill="1" applyBorder="1"/>
    <xf numFmtId="0" fontId="7" fillId="2" borderId="10" xfId="0" applyFont="1" applyFill="1" applyBorder="1"/>
    <xf numFmtId="164" fontId="7" fillId="2" borderId="11" xfId="0" applyNumberFormat="1" applyFont="1" applyFill="1" applyBorder="1"/>
    <xf numFmtId="164" fontId="6" fillId="3" borderId="12" xfId="0" applyNumberFormat="1" applyFont="1" applyFill="1" applyBorder="1"/>
    <xf numFmtId="164" fontId="6" fillId="3" borderId="13" xfId="0" applyNumberFormat="1" applyFont="1" applyFill="1" applyBorder="1"/>
    <xf numFmtId="0" fontId="7" fillId="0" borderId="14" xfId="0" applyFont="1" applyBorder="1" applyAlignment="1">
      <alignment vertical="top"/>
    </xf>
    <xf numFmtId="0" fontId="7" fillId="0" borderId="15" xfId="0" applyFont="1" applyBorder="1" applyAlignment="1">
      <alignment vertical="top"/>
    </xf>
    <xf numFmtId="0" fontId="6" fillId="0" borderId="16" xfId="0" applyFont="1" applyBorder="1" applyAlignment="1">
      <alignment vertical="top" wrapText="1"/>
    </xf>
    <xf numFmtId="0" fontId="7" fillId="0" borderId="7" xfId="0" applyFont="1" applyBorder="1" applyAlignment="1">
      <alignment vertical="top"/>
    </xf>
    <xf numFmtId="0" fontId="7" fillId="0" borderId="0" xfId="0" applyFont="1" applyBorder="1" applyAlignment="1">
      <alignment vertical="top"/>
    </xf>
    <xf numFmtId="165" fontId="6" fillId="0" borderId="1" xfId="0" applyNumberFormat="1" applyFont="1" applyBorder="1" applyAlignment="1">
      <alignment horizontal="left" vertical="top" wrapText="1"/>
    </xf>
    <xf numFmtId="0" fontId="6" fillId="0" borderId="1" xfId="0" applyFont="1" applyBorder="1" applyAlignment="1">
      <alignment vertical="top" wrapText="1"/>
    </xf>
    <xf numFmtId="0" fontId="7" fillId="0" borderId="17" xfId="0" applyFont="1" applyBorder="1" applyAlignment="1">
      <alignment vertical="top"/>
    </xf>
    <xf numFmtId="0" fontId="6" fillId="0" borderId="18" xfId="0" applyFont="1" applyBorder="1" applyAlignment="1">
      <alignment vertical="top" wrapText="1"/>
    </xf>
    <xf numFmtId="0" fontId="6" fillId="0" borderId="0" xfId="0" applyFont="1"/>
    <xf numFmtId="0" fontId="6" fillId="0" borderId="0" xfId="0" applyFont="1" applyAlignment="1">
      <alignment horizontal="center" vertical="center" wrapText="1"/>
    </xf>
    <xf numFmtId="0" fontId="6" fillId="0" borderId="0" xfId="0" applyFont="1" applyAlignment="1"/>
    <xf numFmtId="0" fontId="6" fillId="0" borderId="2" xfId="0" applyFont="1" applyBorder="1" applyAlignment="1">
      <alignment wrapText="1"/>
    </xf>
    <xf numFmtId="0" fontId="7" fillId="0" borderId="0" xfId="0" applyFont="1" applyAlignment="1"/>
    <xf numFmtId="164" fontId="7" fillId="0" borderId="0" xfId="0" applyNumberFormat="1" applyFont="1" applyAlignment="1"/>
    <xf numFmtId="166" fontId="0" fillId="0" borderId="0" xfId="1" applyNumberFormat="1" applyFont="1"/>
    <xf numFmtId="164" fontId="6" fillId="0" borderId="1" xfId="0" quotePrefix="1" applyNumberFormat="1" applyFont="1" applyBorder="1" applyAlignment="1">
      <alignment horizontal="left" vertical="top" wrapText="1"/>
    </xf>
    <xf numFmtId="0" fontId="7" fillId="0" borderId="19" xfId="0" applyFont="1" applyBorder="1" applyAlignment="1">
      <alignment vertical="top"/>
    </xf>
    <xf numFmtId="0" fontId="2" fillId="0" borderId="0" xfId="0" applyFont="1"/>
    <xf numFmtId="0" fontId="2" fillId="0" borderId="0" xfId="0" applyFont="1" applyAlignment="1">
      <alignment horizontal="left" vertical="top" wrapText="1"/>
    </xf>
    <xf numFmtId="0" fontId="16" fillId="0" borderId="0" xfId="0" applyFont="1"/>
    <xf numFmtId="0" fontId="2" fillId="0" borderId="0" xfId="0" applyFont="1" applyAlignment="1">
      <alignment wrapText="1"/>
    </xf>
    <xf numFmtId="0" fontId="6" fillId="0" borderId="5" xfId="0" applyFont="1" applyBorder="1" applyAlignment="1"/>
    <xf numFmtId="0" fontId="14" fillId="0" borderId="1" xfId="2" applyBorder="1" applyAlignment="1" applyProtection="1">
      <alignment vertical="top" wrapText="1"/>
    </xf>
    <xf numFmtId="0" fontId="6" fillId="0" borderId="6" xfId="0" applyFont="1" applyBorder="1" applyAlignment="1">
      <alignment horizontal="center"/>
    </xf>
    <xf numFmtId="164" fontId="6" fillId="0" borderId="2" xfId="0" applyNumberFormat="1" applyFont="1" applyBorder="1" applyAlignment="1">
      <alignment horizontal="center"/>
    </xf>
    <xf numFmtId="164" fontId="6" fillId="0" borderId="20" xfId="0" applyNumberFormat="1" applyFont="1" applyBorder="1" applyAlignment="1">
      <alignment horizontal="center"/>
    </xf>
    <xf numFmtId="0" fontId="6" fillId="0" borderId="21" xfId="0" applyFont="1" applyBorder="1" applyAlignment="1"/>
    <xf numFmtId="0" fontId="6" fillId="0" borderId="22" xfId="0" applyFont="1" applyBorder="1" applyAlignment="1">
      <alignment wrapText="1"/>
    </xf>
    <xf numFmtId="164" fontId="6" fillId="0" borderId="23" xfId="0" applyNumberFormat="1" applyFont="1" applyBorder="1" applyAlignment="1">
      <alignment horizontal="center"/>
    </xf>
    <xf numFmtId="0" fontId="6" fillId="0" borderId="24" xfId="0" applyFont="1" applyBorder="1" applyAlignment="1">
      <alignment horizontal="center"/>
    </xf>
    <xf numFmtId="164" fontId="6" fillId="0" borderId="5" xfId="0" applyNumberFormat="1" applyFont="1" applyBorder="1" applyAlignment="1">
      <alignment horizontal="center"/>
    </xf>
    <xf numFmtId="164" fontId="6" fillId="0" borderId="21" xfId="0" applyNumberFormat="1" applyFont="1" applyBorder="1" applyAlignment="1">
      <alignment horizontal="center"/>
    </xf>
    <xf numFmtId="164" fontId="6" fillId="0" borderId="0" xfId="0" applyNumberFormat="1" applyFont="1" applyAlignment="1">
      <alignment horizontal="center"/>
    </xf>
    <xf numFmtId="0" fontId="6" fillId="0" borderId="0" xfId="0" applyFont="1" applyAlignment="1">
      <alignment horizontal="center" vertical="top" wrapText="1"/>
    </xf>
    <xf numFmtId="0" fontId="6" fillId="0" borderId="25" xfId="0" applyFont="1" applyBorder="1" applyAlignment="1">
      <alignment horizontal="center"/>
    </xf>
    <xf numFmtId="0" fontId="7" fillId="2" borderId="6" xfId="0" applyFont="1" applyFill="1" applyBorder="1" applyAlignment="1">
      <alignment horizontal="center"/>
    </xf>
    <xf numFmtId="0" fontId="6" fillId="0" borderId="1" xfId="0" applyFont="1" applyBorder="1" applyAlignment="1">
      <alignment horizontal="center"/>
    </xf>
    <xf numFmtId="0" fontId="7" fillId="2" borderId="26" xfId="0" applyFont="1" applyFill="1" applyBorder="1" applyAlignment="1">
      <alignment horizontal="center"/>
    </xf>
    <xf numFmtId="0" fontId="6" fillId="3" borderId="27" xfId="0" applyFont="1" applyFill="1" applyBorder="1" applyAlignment="1">
      <alignment horizontal="center"/>
    </xf>
    <xf numFmtId="0" fontId="12" fillId="0" borderId="0" xfId="0" applyFont="1" applyAlignment="1">
      <alignment horizontal="left" vertical="top" wrapText="1"/>
    </xf>
    <xf numFmtId="0" fontId="7" fillId="0" borderId="0" xfId="0" applyFont="1" applyBorder="1" applyAlignment="1">
      <alignment horizontal="center"/>
    </xf>
    <xf numFmtId="0" fontId="6" fillId="0" borderId="2" xfId="0" applyFont="1" applyBorder="1" applyAlignment="1"/>
    <xf numFmtId="0" fontId="6" fillId="0" borderId="20" xfId="0" applyFont="1" applyBorder="1" applyAlignment="1"/>
    <xf numFmtId="164" fontId="6" fillId="0" borderId="9" xfId="0" applyNumberFormat="1" applyFont="1" applyBorder="1"/>
    <xf numFmtId="0" fontId="6" fillId="0" borderId="11" xfId="0" applyFont="1" applyBorder="1"/>
    <xf numFmtId="0" fontId="0" fillId="0" borderId="2" xfId="0" applyBorder="1"/>
    <xf numFmtId="0" fontId="24" fillId="0" borderId="0" xfId="0" applyFont="1"/>
    <xf numFmtId="0" fontId="0" fillId="0" borderId="0" xfId="0" applyAlignment="1">
      <alignment horizontal="center"/>
    </xf>
    <xf numFmtId="0" fontId="2" fillId="0" borderId="0" xfId="0" applyFont="1" applyAlignment="1">
      <alignment horizontal="center"/>
    </xf>
    <xf numFmtId="0" fontId="0" fillId="0" borderId="0" xfId="0" quotePrefix="1" applyAlignment="1">
      <alignment horizontal="center"/>
    </xf>
    <xf numFmtId="0" fontId="0" fillId="0" borderId="0" xfId="0" applyFill="1"/>
    <xf numFmtId="0" fontId="2" fillId="0" borderId="0" xfId="0" quotePrefix="1" applyFont="1" applyAlignment="1">
      <alignment horizontal="center"/>
    </xf>
    <xf numFmtId="0" fontId="25" fillId="0" borderId="3" xfId="0" applyFont="1" applyBorder="1"/>
    <xf numFmtId="0" fontId="9" fillId="4" borderId="4" xfId="0" applyFont="1" applyFill="1" applyBorder="1" applyAlignment="1">
      <alignment horizontal="right"/>
    </xf>
    <xf numFmtId="0" fontId="6" fillId="0" borderId="25" xfId="0" applyFont="1" applyBorder="1"/>
    <xf numFmtId="0" fontId="25" fillId="0" borderId="5" xfId="0" applyFont="1" applyBorder="1"/>
    <xf numFmtId="0" fontId="9" fillId="4" borderId="2" xfId="0" quotePrefix="1" applyFont="1" applyFill="1" applyBorder="1" applyAlignment="1">
      <alignment horizontal="right"/>
    </xf>
    <xf numFmtId="0" fontId="6" fillId="0" borderId="15" xfId="0" applyFont="1" applyBorder="1"/>
    <xf numFmtId="0" fontId="0" fillId="0" borderId="15" xfId="0" applyBorder="1"/>
    <xf numFmtId="0" fontId="25" fillId="0" borderId="5" xfId="0" applyFont="1" applyBorder="1" applyAlignment="1">
      <alignment vertical="center"/>
    </xf>
    <xf numFmtId="0" fontId="25" fillId="0" borderId="2" xfId="0" applyFont="1" applyBorder="1" applyAlignment="1">
      <alignment vertical="center"/>
    </xf>
    <xf numFmtId="0" fontId="27" fillId="0" borderId="2" xfId="0" quotePrefix="1" applyFont="1" applyFill="1" applyBorder="1" applyAlignment="1">
      <alignment horizontal="center" vertical="center"/>
    </xf>
    <xf numFmtId="0" fontId="25" fillId="0" borderId="6" xfId="0" applyFont="1" applyBorder="1" applyAlignment="1">
      <alignment horizontal="center" vertical="center"/>
    </xf>
    <xf numFmtId="0" fontId="6" fillId="0" borderId="0" xfId="0" applyFont="1" applyFill="1" applyBorder="1"/>
    <xf numFmtId="0" fontId="28" fillId="0" borderId="2" xfId="0" applyFont="1" applyBorder="1" applyAlignment="1">
      <alignment vertical="center"/>
    </xf>
    <xf numFmtId="0" fontId="28" fillId="0" borderId="5" xfId="0" applyFont="1" applyBorder="1" applyAlignment="1">
      <alignment vertical="center"/>
    </xf>
    <xf numFmtId="0" fontId="28" fillId="0" borderId="21" xfId="0" applyFont="1" applyBorder="1" applyAlignment="1">
      <alignment vertical="center"/>
    </xf>
    <xf numFmtId="0" fontId="25" fillId="0" borderId="22" xfId="0" applyFont="1" applyBorder="1" applyAlignment="1">
      <alignment vertical="center"/>
    </xf>
    <xf numFmtId="0" fontId="25" fillId="0" borderId="24" xfId="0" applyFont="1" applyBorder="1" applyAlignment="1">
      <alignment horizontal="center" vertical="center"/>
    </xf>
    <xf numFmtId="0" fontId="29" fillId="0" borderId="0" xfId="0" applyFont="1" applyAlignment="1">
      <alignment vertical="center"/>
    </xf>
    <xf numFmtId="0" fontId="29" fillId="0" borderId="0" xfId="0" applyFont="1" applyAlignment="1">
      <alignment vertical="center" wrapText="1"/>
    </xf>
    <xf numFmtId="0" fontId="29" fillId="0" borderId="0" xfId="0" applyFont="1" applyAlignment="1">
      <alignment horizontal="center" vertical="center"/>
    </xf>
    <xf numFmtId="0" fontId="0" fillId="0" borderId="0" xfId="0" applyAlignment="1">
      <alignment vertical="center"/>
    </xf>
    <xf numFmtId="0" fontId="26" fillId="0" borderId="0" xfId="0" applyFont="1" applyAlignment="1">
      <alignment horizontal="center" vertical="center"/>
    </xf>
    <xf numFmtId="0" fontId="25" fillId="0" borderId="0" xfId="0" applyFont="1" applyAlignment="1">
      <alignment horizontal="center" vertical="center"/>
    </xf>
    <xf numFmtId="0" fontId="30" fillId="0" borderId="2" xfId="0" applyFont="1" applyFill="1" applyBorder="1" applyAlignment="1">
      <alignment horizontal="center" vertical="center"/>
    </xf>
    <xf numFmtId="0" fontId="25" fillId="0" borderId="9" xfId="0" applyFont="1" applyFill="1" applyBorder="1" applyAlignment="1">
      <alignment horizontal="center" vertical="center"/>
    </xf>
    <xf numFmtId="0" fontId="26" fillId="0" borderId="2" xfId="0" quotePrefix="1" applyFont="1" applyFill="1" applyBorder="1" applyAlignment="1">
      <alignment horizontal="center" vertical="center"/>
    </xf>
    <xf numFmtId="0" fontId="31" fillId="0" borderId="0" xfId="0" applyFont="1" applyFill="1" applyAlignment="1">
      <alignment vertical="center"/>
    </xf>
    <xf numFmtId="0" fontId="25" fillId="5" borderId="2" xfId="0" applyFont="1" applyFill="1" applyBorder="1" applyAlignment="1">
      <alignment vertical="center"/>
    </xf>
    <xf numFmtId="0" fontId="32" fillId="0" borderId="0" xfId="0" applyFont="1" applyAlignment="1">
      <alignment horizontal="center" vertical="center"/>
    </xf>
    <xf numFmtId="0" fontId="32" fillId="0" borderId="0" xfId="0" applyFont="1" applyFill="1" applyAlignment="1">
      <alignment horizontal="center" vertical="center"/>
    </xf>
    <xf numFmtId="0" fontId="25" fillId="0" borderId="9" xfId="0" applyFont="1" applyBorder="1" applyAlignment="1">
      <alignment horizontal="center" vertical="center"/>
    </xf>
    <xf numFmtId="0" fontId="26" fillId="0" borderId="2" xfId="0" applyFont="1" applyFill="1" applyBorder="1" applyAlignment="1">
      <alignment horizontal="center" vertical="center"/>
    </xf>
    <xf numFmtId="0" fontId="32" fillId="0" borderId="2" xfId="0" applyFont="1" applyBorder="1" applyAlignment="1">
      <alignment horizontal="center" vertical="center"/>
    </xf>
    <xf numFmtId="0" fontId="5" fillId="0" borderId="0" xfId="0" applyFont="1" applyAlignment="1">
      <alignment vertical="center"/>
    </xf>
    <xf numFmtId="0" fontId="5" fillId="0" borderId="0" xfId="0" applyFont="1" applyAlignment="1">
      <alignment vertical="center" wrapText="1"/>
    </xf>
    <xf numFmtId="0" fontId="5" fillId="0" borderId="0" xfId="0" applyFont="1" applyAlignment="1">
      <alignment horizontal="center" vertical="center"/>
    </xf>
    <xf numFmtId="0" fontId="2" fillId="6" borderId="3" xfId="0" applyFont="1" applyFill="1" applyBorder="1" applyAlignment="1">
      <alignment vertical="center"/>
    </xf>
    <xf numFmtId="0" fontId="2" fillId="6" borderId="4" xfId="0" applyFont="1" applyFill="1" applyBorder="1" applyAlignment="1">
      <alignment vertical="center"/>
    </xf>
    <xf numFmtId="0" fontId="5" fillId="0" borderId="5" xfId="0" applyFont="1" applyBorder="1" applyAlignment="1">
      <alignment vertical="center"/>
    </xf>
    <xf numFmtId="0" fontId="5" fillId="0" borderId="2" xfId="0" applyFont="1" applyBorder="1" applyAlignment="1">
      <alignment vertical="center"/>
    </xf>
    <xf numFmtId="0" fontId="34" fillId="0" borderId="2" xfId="0" applyFont="1" applyBorder="1" applyAlignment="1">
      <alignment vertical="center"/>
    </xf>
    <xf numFmtId="0" fontId="34" fillId="0" borderId="5" xfId="0"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vertical="top" wrapText="1"/>
    </xf>
    <xf numFmtId="0" fontId="26" fillId="7" borderId="2" xfId="0" quotePrefix="1" applyFont="1" applyFill="1" applyBorder="1" applyAlignment="1">
      <alignment horizontal="center" vertical="center"/>
    </xf>
    <xf numFmtId="0" fontId="26" fillId="7" borderId="2" xfId="0" applyFont="1" applyFill="1" applyBorder="1" applyAlignment="1">
      <alignment horizontal="center" vertical="center"/>
    </xf>
    <xf numFmtId="0" fontId="32" fillId="7" borderId="0" xfId="0" applyFont="1" applyFill="1" applyAlignment="1">
      <alignment horizontal="center" vertical="center"/>
    </xf>
    <xf numFmtId="0" fontId="32" fillId="0" borderId="2" xfId="0" applyFont="1" applyFill="1" applyBorder="1" applyAlignment="1">
      <alignment horizontal="center" vertical="center"/>
    </xf>
    <xf numFmtId="0" fontId="26" fillId="8" borderId="2" xfId="0" applyFont="1" applyFill="1" applyBorder="1" applyAlignment="1">
      <alignment vertical="center"/>
    </xf>
    <xf numFmtId="0" fontId="26" fillId="8" borderId="2" xfId="0" applyFont="1" applyFill="1" applyBorder="1" applyAlignment="1">
      <alignment vertical="center" wrapText="1"/>
    </xf>
    <xf numFmtId="0" fontId="26" fillId="8" borderId="2" xfId="0" quotePrefix="1" applyFont="1" applyFill="1" applyBorder="1" applyAlignment="1">
      <alignment horizontal="center" vertical="center"/>
    </xf>
    <xf numFmtId="0" fontId="5" fillId="0" borderId="0" xfId="0" applyFont="1" applyFill="1" applyAlignment="1">
      <alignment horizontal="center" vertical="center"/>
    </xf>
    <xf numFmtId="0" fontId="0" fillId="0" borderId="0" xfId="0" applyFill="1" applyAlignment="1">
      <alignment horizontal="center"/>
    </xf>
    <xf numFmtId="0" fontId="6" fillId="0" borderId="5" xfId="0" applyFont="1" applyBorder="1" applyAlignment="1">
      <alignment wrapText="1"/>
    </xf>
    <xf numFmtId="0" fontId="10" fillId="0" borderId="6" xfId="0" applyFont="1" applyBorder="1"/>
    <xf numFmtId="0" fontId="21" fillId="0" borderId="6" xfId="0" applyFont="1" applyBorder="1"/>
    <xf numFmtId="0" fontId="11" fillId="0" borderId="6" xfId="0" applyFont="1" applyBorder="1" applyAlignment="1">
      <alignment wrapText="1"/>
    </xf>
    <xf numFmtId="0" fontId="21" fillId="0" borderId="6" xfId="0" applyFont="1" applyBorder="1" applyAlignment="1">
      <alignment horizontal="left" vertical="top"/>
    </xf>
    <xf numFmtId="0" fontId="11" fillId="0" borderId="6" xfId="0" applyFont="1" applyBorder="1" applyAlignment="1">
      <alignment horizontal="left" vertical="top"/>
    </xf>
    <xf numFmtId="0" fontId="36" fillId="0" borderId="6" xfId="0" applyFont="1" applyBorder="1" applyAlignment="1">
      <alignment horizontal="left" vertical="top"/>
    </xf>
    <xf numFmtId="0" fontId="6" fillId="0" borderId="21" xfId="0" applyFont="1" applyBorder="1" applyAlignment="1">
      <alignment wrapText="1"/>
    </xf>
    <xf numFmtId="0" fontId="21" fillId="0" borderId="24" xfId="0" applyFont="1" applyBorder="1" applyAlignment="1">
      <alignment horizontal="left" vertical="top"/>
    </xf>
    <xf numFmtId="164" fontId="3" fillId="7" borderId="28" xfId="0" applyNumberFormat="1" applyFont="1" applyFill="1" applyBorder="1" applyAlignment="1"/>
    <xf numFmtId="0" fontId="3" fillId="7" borderId="29" xfId="0" applyFont="1" applyFill="1" applyBorder="1" applyAlignment="1"/>
    <xf numFmtId="0" fontId="37" fillId="8" borderId="3" xfId="0" applyFont="1" applyFill="1" applyBorder="1" applyAlignment="1">
      <alignment horizontal="center" vertical="center" wrapText="1"/>
    </xf>
    <xf numFmtId="0" fontId="37" fillId="8" borderId="4" xfId="0" applyFont="1" applyFill="1" applyBorder="1" applyAlignment="1">
      <alignment horizontal="center" vertical="center" wrapText="1"/>
    </xf>
    <xf numFmtId="0" fontId="37" fillId="8" borderId="25" xfId="0" applyFont="1" applyFill="1" applyBorder="1" applyAlignment="1">
      <alignment horizontal="center" vertical="center"/>
    </xf>
    <xf numFmtId="0" fontId="22" fillId="7" borderId="2" xfId="0" quotePrefix="1" applyFont="1" applyFill="1" applyBorder="1" applyAlignment="1" applyProtection="1">
      <alignment horizontal="center" vertical="center"/>
      <protection locked="0"/>
    </xf>
    <xf numFmtId="0" fontId="26" fillId="0" borderId="30" xfId="0" applyFont="1" applyFill="1" applyBorder="1" applyAlignment="1">
      <alignment horizontal="center" vertical="center"/>
    </xf>
    <xf numFmtId="0" fontId="26" fillId="0" borderId="31" xfId="0" applyFont="1" applyFill="1" applyBorder="1" applyAlignment="1">
      <alignment horizontal="center" vertical="center"/>
    </xf>
    <xf numFmtId="0" fontId="25" fillId="0" borderId="32" xfId="0" applyFont="1" applyFill="1" applyBorder="1" applyAlignment="1">
      <alignment horizontal="left" vertical="center"/>
    </xf>
    <xf numFmtId="0" fontId="5" fillId="0" borderId="0" xfId="0" quotePrefix="1" applyNumberFormat="1" applyFont="1" applyAlignment="1">
      <alignment horizontal="center"/>
    </xf>
    <xf numFmtId="0" fontId="37" fillId="8" borderId="3" xfId="0" applyFont="1" applyFill="1" applyBorder="1" applyAlignment="1">
      <alignment horizontal="center" vertical="center" wrapText="1"/>
    </xf>
    <xf numFmtId="0" fontId="11" fillId="0" borderId="6" xfId="0" applyFont="1" applyBorder="1" applyAlignment="1">
      <alignment horizontal="left" vertical="top" wrapText="1"/>
    </xf>
    <xf numFmtId="0" fontId="6" fillId="0" borderId="5" xfId="0" applyFont="1" applyBorder="1" applyAlignment="1">
      <alignment vertical="center" wrapText="1"/>
    </xf>
    <xf numFmtId="0" fontId="11" fillId="0" borderId="24" xfId="0" applyFont="1" applyBorder="1" applyAlignment="1">
      <alignment horizontal="left" vertical="top"/>
    </xf>
    <xf numFmtId="0" fontId="25" fillId="0" borderId="17" xfId="0" applyFont="1" applyBorder="1"/>
    <xf numFmtId="0" fontId="5" fillId="0" borderId="0" xfId="0" applyFont="1" applyAlignment="1">
      <alignment horizontal="center"/>
    </xf>
    <xf numFmtId="9" fontId="0" fillId="0" borderId="0" xfId="0" applyNumberFormat="1" applyAlignment="1"/>
    <xf numFmtId="0" fontId="25" fillId="9" borderId="9" xfId="0" applyFont="1" applyFill="1" applyBorder="1" applyAlignment="1">
      <alignment horizontal="center" vertical="center"/>
    </xf>
    <xf numFmtId="0" fontId="41" fillId="9" borderId="20" xfId="0" applyFont="1" applyFill="1" applyBorder="1" applyAlignment="1" applyProtection="1">
      <alignment horizontal="center" vertical="center"/>
      <protection locked="0"/>
    </xf>
    <xf numFmtId="0" fontId="15" fillId="0" borderId="0" xfId="0" applyFont="1" applyAlignment="1">
      <alignment horizontal="left"/>
    </xf>
    <xf numFmtId="0" fontId="25" fillId="0" borderId="2" xfId="0" applyFont="1" applyBorder="1" applyAlignment="1">
      <alignment horizontal="left" vertical="center"/>
    </xf>
    <xf numFmtId="0" fontId="25" fillId="0" borderId="2" xfId="0" applyFont="1" applyBorder="1" applyAlignment="1">
      <alignment horizontal="left" vertical="center" wrapText="1"/>
    </xf>
    <xf numFmtId="0" fontId="25" fillId="0" borderId="36" xfId="0" applyFont="1" applyBorder="1" applyAlignment="1">
      <alignment vertical="center" wrapText="1"/>
    </xf>
    <xf numFmtId="0" fontId="25" fillId="0" borderId="33" xfId="0" applyFont="1" applyBorder="1" applyAlignment="1">
      <alignment vertical="center" wrapText="1"/>
    </xf>
    <xf numFmtId="0" fontId="5" fillId="0" borderId="37" xfId="0" applyFont="1" applyBorder="1" applyAlignment="1">
      <alignment horizontal="left" vertical="center"/>
    </xf>
    <xf numFmtId="0" fontId="5" fillId="0" borderId="38" xfId="0" applyFont="1" applyBorder="1" applyAlignment="1">
      <alignment horizontal="left" vertical="center"/>
    </xf>
    <xf numFmtId="0" fontId="25" fillId="0" borderId="20" xfId="0" applyFont="1" applyBorder="1" applyAlignment="1">
      <alignment horizontal="center" vertical="center"/>
    </xf>
    <xf numFmtId="0" fontId="25" fillId="0" borderId="35" xfId="0" applyFont="1" applyBorder="1" applyAlignment="1">
      <alignment horizontal="center" vertical="center"/>
    </xf>
    <xf numFmtId="0" fontId="25" fillId="0" borderId="9" xfId="0" applyFont="1" applyBorder="1" applyAlignment="1">
      <alignment horizontal="center" vertical="center"/>
    </xf>
    <xf numFmtId="0" fontId="28" fillId="0" borderId="2" xfId="0" applyFont="1" applyBorder="1" applyAlignment="1">
      <alignment vertical="center" wrapText="1"/>
    </xf>
    <xf numFmtId="0" fontId="28" fillId="0" borderId="11" xfId="0" applyFont="1" applyBorder="1" applyAlignment="1">
      <alignment horizontal="left" vertical="center"/>
    </xf>
    <xf numFmtId="0" fontId="28" fillId="0" borderId="32" xfId="0" applyFont="1" applyBorder="1" applyAlignment="1">
      <alignment horizontal="left" vertical="center"/>
    </xf>
    <xf numFmtId="0" fontId="25" fillId="0" borderId="11" xfId="0" applyFont="1" applyBorder="1" applyAlignment="1">
      <alignment horizontal="left" vertical="center" wrapText="1"/>
    </xf>
    <xf numFmtId="0" fontId="25" fillId="0" borderId="32" xfId="0" applyFont="1" applyBorder="1" applyAlignment="1">
      <alignment horizontal="left" vertical="center" wrapText="1"/>
    </xf>
    <xf numFmtId="0" fontId="25" fillId="0" borderId="2" xfId="0" applyFont="1" applyBorder="1" applyAlignment="1">
      <alignment vertical="center" wrapText="1"/>
    </xf>
    <xf numFmtId="0" fontId="25" fillId="0" borderId="11" xfId="0" applyFont="1" applyBorder="1" applyAlignment="1">
      <alignment horizontal="left" vertical="center"/>
    </xf>
    <xf numFmtId="0" fontId="25" fillId="0" borderId="32" xfId="0" applyFont="1" applyBorder="1" applyAlignment="1">
      <alignment horizontal="left" vertical="center"/>
    </xf>
    <xf numFmtId="0" fontId="25" fillId="0" borderId="11" xfId="0" applyFont="1" applyBorder="1" applyAlignment="1">
      <alignment vertical="center"/>
    </xf>
    <xf numFmtId="0" fontId="25" fillId="0" borderId="32" xfId="0" applyFont="1" applyBorder="1" applyAlignment="1">
      <alignment vertical="center"/>
    </xf>
    <xf numFmtId="0" fontId="5" fillId="0" borderId="0" xfId="0" applyFont="1" applyAlignment="1">
      <alignment horizontal="center" vertical="center"/>
    </xf>
    <xf numFmtId="0" fontId="3" fillId="8" borderId="33" xfId="0" applyFont="1" applyFill="1" applyBorder="1" applyAlignment="1">
      <alignment horizontal="center" vertical="center"/>
    </xf>
    <xf numFmtId="0" fontId="3" fillId="8" borderId="34" xfId="0" applyFont="1" applyFill="1" applyBorder="1" applyAlignment="1">
      <alignment horizontal="center" vertical="center"/>
    </xf>
    <xf numFmtId="0" fontId="25" fillId="0" borderId="20" xfId="0" applyFont="1" applyFill="1" applyBorder="1" applyAlignment="1">
      <alignment horizontal="center" vertical="center"/>
    </xf>
    <xf numFmtId="0" fontId="25" fillId="0" borderId="35" xfId="0" applyFont="1" applyFill="1" applyBorder="1" applyAlignment="1">
      <alignment horizontal="center" vertical="center"/>
    </xf>
    <xf numFmtId="0" fontId="25" fillId="0" borderId="9" xfId="0" applyFont="1" applyFill="1" applyBorder="1" applyAlignment="1">
      <alignment horizontal="center" vertical="center"/>
    </xf>
    <xf numFmtId="0" fontId="26" fillId="8" borderId="40" xfId="0" applyFont="1" applyFill="1" applyBorder="1" applyAlignment="1">
      <alignment horizontal="center" vertical="center" wrapText="1"/>
    </xf>
    <xf numFmtId="0" fontId="26" fillId="8" borderId="32" xfId="0" applyFont="1" applyFill="1" applyBorder="1" applyAlignment="1">
      <alignment horizontal="center" vertical="center"/>
    </xf>
    <xf numFmtId="0" fontId="25" fillId="0" borderId="8" xfId="0" applyFont="1" applyBorder="1" applyAlignment="1">
      <alignment horizontal="center" vertical="center"/>
    </xf>
    <xf numFmtId="0" fontId="25" fillId="0" borderId="43" xfId="0" applyFont="1" applyBorder="1" applyAlignment="1">
      <alignment horizontal="center" vertical="center"/>
    </xf>
    <xf numFmtId="0" fontId="25" fillId="0" borderId="26" xfId="0" applyFont="1" applyBorder="1" applyAlignment="1">
      <alignment horizontal="center" vertical="center"/>
    </xf>
    <xf numFmtId="0" fontId="25" fillId="0" borderId="44" xfId="0" applyFont="1" applyBorder="1" applyAlignment="1">
      <alignment horizontal="center" vertical="center"/>
    </xf>
    <xf numFmtId="0" fontId="27" fillId="0" borderId="20" xfId="0" applyFont="1" applyBorder="1" applyAlignment="1">
      <alignment horizontal="center" vertical="center"/>
    </xf>
    <xf numFmtId="0" fontId="27" fillId="0" borderId="35" xfId="0" applyFont="1" applyBorder="1" applyAlignment="1">
      <alignment horizontal="center" vertical="center"/>
    </xf>
    <xf numFmtId="0" fontId="27" fillId="0" borderId="9" xfId="0" applyFont="1" applyBorder="1" applyAlignment="1">
      <alignment horizontal="center" vertical="center"/>
    </xf>
    <xf numFmtId="0" fontId="27" fillId="0" borderId="20" xfId="0" applyFont="1" applyFill="1" applyBorder="1" applyAlignment="1">
      <alignment horizontal="center" vertical="center"/>
    </xf>
    <xf numFmtId="0" fontId="27" fillId="0" borderId="35" xfId="0" applyFont="1" applyFill="1" applyBorder="1" applyAlignment="1">
      <alignment horizontal="center" vertical="center"/>
    </xf>
    <xf numFmtId="0" fontId="27" fillId="0" borderId="9" xfId="0" applyFont="1" applyFill="1" applyBorder="1" applyAlignment="1">
      <alignment horizontal="center" vertical="center"/>
    </xf>
    <xf numFmtId="0" fontId="26" fillId="8" borderId="45" xfId="0" applyFont="1" applyFill="1" applyBorder="1" applyAlignment="1">
      <alignment horizontal="center" vertical="center"/>
    </xf>
    <xf numFmtId="0" fontId="26" fillId="8" borderId="44" xfId="0" applyFont="1" applyFill="1" applyBorder="1" applyAlignment="1">
      <alignment horizontal="center" vertical="center"/>
    </xf>
    <xf numFmtId="0" fontId="25" fillId="0" borderId="37" xfId="0" applyFont="1" applyBorder="1" applyAlignment="1">
      <alignment horizontal="left" vertical="center"/>
    </xf>
    <xf numFmtId="0" fontId="25" fillId="0" borderId="38" xfId="0" applyFont="1" applyBorder="1" applyAlignment="1">
      <alignment horizontal="left" vertical="center"/>
    </xf>
    <xf numFmtId="0" fontId="25" fillId="0" borderId="37" xfId="0" applyFont="1" applyBorder="1" applyAlignment="1">
      <alignment horizontal="center" vertical="center"/>
    </xf>
    <xf numFmtId="0" fontId="25" fillId="0" borderId="38" xfId="0" applyFont="1" applyBorder="1" applyAlignment="1">
      <alignment horizontal="center" vertical="center"/>
    </xf>
    <xf numFmtId="0" fontId="38" fillId="0" borderId="0" xfId="0" applyFont="1" applyAlignment="1">
      <alignment horizontal="center"/>
    </xf>
    <xf numFmtId="0" fontId="39" fillId="0" borderId="0" xfId="0" applyFont="1" applyAlignment="1">
      <alignment horizontal="center"/>
    </xf>
    <xf numFmtId="0" fontId="26" fillId="8" borderId="39" xfId="0" applyFont="1" applyFill="1" applyBorder="1" applyAlignment="1">
      <alignment horizontal="center" vertical="center"/>
    </xf>
    <xf numFmtId="0" fontId="26" fillId="8" borderId="38" xfId="0" applyFont="1" applyFill="1" applyBorder="1" applyAlignment="1">
      <alignment horizontal="center" vertical="center"/>
    </xf>
    <xf numFmtId="0" fontId="26" fillId="8" borderId="40" xfId="0" applyFont="1" applyFill="1" applyBorder="1" applyAlignment="1">
      <alignment horizontal="center" vertical="center"/>
    </xf>
    <xf numFmtId="0" fontId="9" fillId="0" borderId="41" xfId="0" quotePrefix="1" applyFont="1" applyFill="1" applyBorder="1" applyAlignment="1">
      <alignment horizontal="center"/>
    </xf>
    <xf numFmtId="0" fontId="9" fillId="0" borderId="42" xfId="0" quotePrefix="1" applyFont="1" applyFill="1" applyBorder="1" applyAlignment="1">
      <alignment horizontal="center"/>
    </xf>
    <xf numFmtId="0" fontId="22" fillId="7" borderId="28" xfId="0" applyFont="1" applyFill="1" applyBorder="1" applyAlignment="1">
      <alignment horizontal="center" vertical="center" wrapText="1"/>
    </xf>
    <xf numFmtId="0" fontId="22" fillId="7" borderId="29" xfId="0" applyFont="1" applyFill="1" applyBorder="1" applyAlignment="1">
      <alignment horizontal="center" vertical="center" wrapText="1"/>
    </xf>
    <xf numFmtId="0" fontId="22" fillId="7" borderId="2" xfId="0" applyFont="1" applyFill="1" applyBorder="1" applyAlignment="1" applyProtection="1">
      <alignment horizontal="center" vertical="center"/>
      <protection locked="0"/>
    </xf>
    <xf numFmtId="9" fontId="22" fillId="7" borderId="2" xfId="3" applyFont="1" applyFill="1" applyBorder="1" applyAlignment="1" applyProtection="1">
      <alignment horizontal="center" vertical="center"/>
    </xf>
    <xf numFmtId="9" fontId="22" fillId="7" borderId="2" xfId="3" applyFont="1" applyFill="1" applyBorder="1" applyAlignment="1" applyProtection="1">
      <alignment horizontal="center" vertical="center"/>
      <protection locked="0"/>
    </xf>
    <xf numFmtId="9" fontId="22" fillId="7" borderId="22" xfId="3" applyFont="1" applyFill="1" applyBorder="1" applyAlignment="1" applyProtection="1">
      <alignment horizontal="center" vertical="center"/>
      <protection locked="0"/>
    </xf>
    <xf numFmtId="0" fontId="41" fillId="9" borderId="20" xfId="0" applyFont="1" applyFill="1" applyBorder="1" applyAlignment="1" applyProtection="1">
      <alignment horizontal="center" vertical="center"/>
      <protection locked="0"/>
    </xf>
    <xf numFmtId="0" fontId="0" fillId="0" borderId="9" xfId="0" applyBorder="1" applyAlignment="1">
      <alignment horizontal="center" vertical="center"/>
    </xf>
    <xf numFmtId="0" fontId="40" fillId="0" borderId="0" xfId="0" applyFont="1" applyAlignment="1">
      <alignment horizontal="center"/>
    </xf>
    <xf numFmtId="0" fontId="6" fillId="8" borderId="5" xfId="0" applyFont="1" applyFill="1" applyBorder="1" applyAlignment="1">
      <alignment horizontal="center" wrapText="1"/>
    </xf>
    <xf numFmtId="0" fontId="6" fillId="8" borderId="2" xfId="0" applyFont="1" applyFill="1" applyBorder="1" applyAlignment="1">
      <alignment horizontal="center" wrapText="1"/>
    </xf>
    <xf numFmtId="0" fontId="6" fillId="8" borderId="6" xfId="0" applyFont="1" applyFill="1" applyBorder="1" applyAlignment="1">
      <alignment horizontal="center" wrapText="1"/>
    </xf>
    <xf numFmtId="9" fontId="6" fillId="0" borderId="22" xfId="3" applyNumberFormat="1" applyFont="1" applyFill="1" applyBorder="1" applyAlignment="1" applyProtection="1">
      <alignment horizontal="center" vertical="center"/>
    </xf>
    <xf numFmtId="9" fontId="37" fillId="8" borderId="4" xfId="3" applyFont="1" applyFill="1" applyBorder="1" applyAlignment="1" applyProtection="1">
      <alignment horizontal="center" vertical="center"/>
      <protection locked="0"/>
    </xf>
    <xf numFmtId="0" fontId="37" fillId="8" borderId="5" xfId="0" applyFont="1" applyFill="1" applyBorder="1" applyAlignment="1">
      <alignment horizontal="center" wrapText="1"/>
    </xf>
    <xf numFmtId="0" fontId="37" fillId="8" borderId="2" xfId="0" applyFont="1" applyFill="1" applyBorder="1" applyAlignment="1">
      <alignment horizontal="center" wrapText="1"/>
    </xf>
    <xf numFmtId="0" fontId="37" fillId="8" borderId="6" xfId="0" applyFont="1" applyFill="1" applyBorder="1" applyAlignment="1">
      <alignment horizontal="center" wrapText="1"/>
    </xf>
    <xf numFmtId="0" fontId="7" fillId="8" borderId="5" xfId="0" applyFont="1" applyFill="1" applyBorder="1" applyAlignment="1">
      <alignment horizontal="center" wrapText="1"/>
    </xf>
    <xf numFmtId="0" fontId="7" fillId="8" borderId="2" xfId="0" applyFont="1" applyFill="1" applyBorder="1" applyAlignment="1">
      <alignment horizontal="center" wrapText="1"/>
    </xf>
    <xf numFmtId="0" fontId="7" fillId="8" borderId="6" xfId="0" applyFont="1" applyFill="1" applyBorder="1" applyAlignment="1">
      <alignment horizontal="center" wrapText="1"/>
    </xf>
    <xf numFmtId="0" fontId="41" fillId="0" borderId="2" xfId="0" applyFont="1" applyFill="1" applyBorder="1" applyAlignment="1" applyProtection="1">
      <alignment horizontal="center" vertical="center"/>
    </xf>
    <xf numFmtId="9" fontId="22" fillId="7" borderId="2" xfId="0" applyNumberFormat="1" applyFont="1" applyFill="1" applyBorder="1" applyAlignment="1" applyProtection="1">
      <alignment horizontal="center" vertical="center"/>
      <protection locked="0"/>
    </xf>
    <xf numFmtId="9" fontId="41" fillId="0" borderId="2" xfId="3" applyFont="1" applyFill="1" applyBorder="1" applyAlignment="1" applyProtection="1">
      <alignment horizontal="center" vertical="center"/>
    </xf>
    <xf numFmtId="0" fontId="40" fillId="0" borderId="0" xfId="0" applyFont="1" applyFill="1" applyBorder="1" applyAlignment="1">
      <alignment horizontal="center" wrapText="1"/>
    </xf>
    <xf numFmtId="0" fontId="6" fillId="0" borderId="0" xfId="0" applyFont="1" applyAlignment="1">
      <alignment horizontal="center" wrapText="1"/>
    </xf>
    <xf numFmtId="0" fontId="5" fillId="0" borderId="28" xfId="0" applyFont="1" applyBorder="1" applyAlignment="1">
      <alignment horizontal="center" wrapText="1"/>
    </xf>
    <xf numFmtId="0" fontId="0" fillId="0" borderId="29" xfId="0" applyBorder="1" applyAlignment="1">
      <alignment horizontal="center" wrapText="1"/>
    </xf>
    <xf numFmtId="0" fontId="37" fillId="8" borderId="3" xfId="0" applyFont="1" applyFill="1" applyBorder="1" applyAlignment="1">
      <alignment horizontal="center" vertical="center" wrapText="1"/>
    </xf>
    <xf numFmtId="0" fontId="37" fillId="8" borderId="25" xfId="0" applyFont="1" applyFill="1" applyBorder="1" applyAlignment="1">
      <alignment horizontal="center" vertical="center" wrapText="1"/>
    </xf>
    <xf numFmtId="0" fontId="37" fillId="8" borderId="4" xfId="0" applyFont="1" applyFill="1" applyBorder="1" applyAlignment="1">
      <alignment horizontal="center" vertical="center" wrapText="1"/>
    </xf>
    <xf numFmtId="0" fontId="37" fillId="8" borderId="46" xfId="0" applyFont="1" applyFill="1" applyBorder="1" applyAlignment="1">
      <alignment horizontal="center" vertical="center" wrapText="1"/>
    </xf>
    <xf numFmtId="0" fontId="37" fillId="8" borderId="47" xfId="0" applyFont="1" applyFill="1" applyBorder="1" applyAlignment="1">
      <alignment horizontal="center" vertical="center" wrapText="1"/>
    </xf>
    <xf numFmtId="0" fontId="4" fillId="0" borderId="19" xfId="0" applyFont="1" applyBorder="1" applyAlignment="1">
      <alignment horizontal="center"/>
    </xf>
    <xf numFmtId="0" fontId="8" fillId="0" borderId="0" xfId="0" applyFont="1" applyAlignment="1">
      <alignment horizontal="center"/>
    </xf>
    <xf numFmtId="0" fontId="6" fillId="0" borderId="0" xfId="0" applyFont="1" applyAlignment="1">
      <alignment horizontal="center" vertical="top" wrapText="1"/>
    </xf>
  </cellXfs>
  <cellStyles count="4">
    <cellStyle name="Comma" xfId="1" builtinId="3"/>
    <cellStyle name="Hyperlink" xfId="2" builtinId="8"/>
    <cellStyle name="Normal" xfId="0" builtinId="0"/>
    <cellStyle name="Percent" xfId="3" builtinId="5"/>
  </cellStyles>
  <dxfs count="0"/>
  <tableStyles count="0" defaultTableStyle="TableStyleMedium9" defaultPivotStyle="PivotStyleLight16"/>
  <colors>
    <mruColors>
      <color rgb="FF006666"/>
    </mruColors>
  </colors>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25" b="1" i="0" u="none" strike="noStrike" baseline="0">
                <a:solidFill>
                  <a:srgbClr val="000000"/>
                </a:solidFill>
                <a:latin typeface="Frutiger 55 Roman"/>
                <a:ea typeface="Frutiger 55 Roman"/>
                <a:cs typeface="Frutiger 55 Roman"/>
              </a:defRPr>
            </a:pPr>
            <a:r>
              <a:rPr lang="en-US"/>
              <a:t>Power Consumption</a:t>
            </a:r>
          </a:p>
        </c:rich>
      </c:tx>
      <c:layout>
        <c:manualLayout>
          <c:xMode val="edge"/>
          <c:yMode val="edge"/>
          <c:x val="0.24439918533604907"/>
          <c:y val="3.690037415535824E-2"/>
        </c:manualLayout>
      </c:layout>
      <c:spPr>
        <a:noFill/>
        <a:ln w="25400">
          <a:noFill/>
        </a:ln>
      </c:spPr>
    </c:title>
    <c:plotArea>
      <c:layout>
        <c:manualLayout>
          <c:layoutTarget val="inner"/>
          <c:xMode val="edge"/>
          <c:yMode val="edge"/>
          <c:x val="0.15274949083503239"/>
          <c:y val="0.13284156776401018"/>
          <c:w val="0.50509164969450415"/>
          <c:h val="0.74907884044705764"/>
        </c:manualLayout>
      </c:layout>
      <c:barChart>
        <c:barDir val="col"/>
        <c:grouping val="stacked"/>
        <c:ser>
          <c:idx val="0"/>
          <c:order val="0"/>
          <c:tx>
            <c:strRef>
              <c:f>Summary!$C$19</c:f>
              <c:strCache>
                <c:ptCount val="1"/>
                <c:pt idx="0">
                  <c:v> Total Background  Power</c:v>
                </c:pt>
              </c:strCache>
            </c:strRef>
          </c:tx>
          <c:spPr>
            <a:solidFill>
              <a:srgbClr val="000080"/>
            </a:solidFill>
            <a:ln w="12700">
              <a:solidFill>
                <a:srgbClr val="000000"/>
              </a:solidFill>
              <a:prstDash val="solid"/>
            </a:ln>
          </c:spPr>
          <c:val>
            <c:numRef>
              <c:f>Summary!$D$19</c:f>
              <c:numCache>
                <c:formatCode>0.0</c:formatCode>
                <c:ptCount val="1"/>
                <c:pt idx="0">
                  <c:v>33.16765384615384</c:v>
                </c:pt>
              </c:numCache>
            </c:numRef>
          </c:val>
        </c:ser>
        <c:ser>
          <c:idx val="1"/>
          <c:order val="1"/>
          <c:tx>
            <c:strRef>
              <c:f>Summary!$C$22</c:f>
              <c:strCache>
                <c:ptCount val="1"/>
                <c:pt idx="0">
                  <c:v>Total Activate Power</c:v>
                </c:pt>
              </c:strCache>
            </c:strRef>
          </c:tx>
          <c:spPr>
            <a:solidFill>
              <a:srgbClr val="800000"/>
            </a:solidFill>
            <a:ln w="12700">
              <a:solidFill>
                <a:srgbClr val="000000"/>
              </a:solidFill>
              <a:prstDash val="solid"/>
            </a:ln>
          </c:spPr>
          <c:val>
            <c:numRef>
              <c:f>Summary!$D$22</c:f>
              <c:numCache>
                <c:formatCode>0.0</c:formatCode>
                <c:ptCount val="1"/>
                <c:pt idx="0">
                  <c:v>47.000174034110685</c:v>
                </c:pt>
              </c:numCache>
            </c:numRef>
          </c:val>
        </c:ser>
        <c:ser>
          <c:idx val="2"/>
          <c:order val="2"/>
          <c:tx>
            <c:strRef>
              <c:f>Summary!$C$27</c:f>
              <c:strCache>
                <c:ptCount val="1"/>
                <c:pt idx="0">
                  <c:v>Total Read/Write Power</c:v>
                </c:pt>
              </c:strCache>
            </c:strRef>
          </c:tx>
          <c:spPr>
            <a:solidFill>
              <a:srgbClr val="FFFFCC"/>
            </a:solidFill>
            <a:ln w="12700">
              <a:solidFill>
                <a:srgbClr val="000000"/>
              </a:solidFill>
              <a:prstDash val="solid"/>
            </a:ln>
          </c:spPr>
          <c:val>
            <c:numRef>
              <c:f>Summary!$D$27</c:f>
              <c:numCache>
                <c:formatCode>0.0</c:formatCode>
                <c:ptCount val="1"/>
                <c:pt idx="0">
                  <c:v>66.884017751479291</c:v>
                </c:pt>
              </c:numCache>
            </c:numRef>
          </c:val>
        </c:ser>
        <c:overlap val="100"/>
        <c:axId val="157889280"/>
        <c:axId val="157890816"/>
      </c:barChart>
      <c:catAx>
        <c:axId val="157889280"/>
        <c:scaling>
          <c:orientation val="minMax"/>
        </c:scaling>
        <c:delete val="1"/>
        <c:axPos val="b"/>
        <c:tickLblPos val="none"/>
        <c:crossAx val="157890816"/>
        <c:crosses val="autoZero"/>
        <c:auto val="1"/>
        <c:lblAlgn val="ctr"/>
        <c:lblOffset val="100"/>
      </c:catAx>
      <c:valAx>
        <c:axId val="157890816"/>
        <c:scaling>
          <c:orientation val="minMax"/>
        </c:scaling>
        <c:axPos val="l"/>
        <c:majorGridlines>
          <c:spPr>
            <a:ln w="3175">
              <a:solidFill>
                <a:srgbClr val="000000"/>
              </a:solidFill>
              <a:prstDash val="solid"/>
            </a:ln>
          </c:spPr>
        </c:majorGridlines>
        <c:title>
          <c:tx>
            <c:rich>
              <a:bodyPr/>
              <a:lstStyle/>
              <a:p>
                <a:pPr>
                  <a:defRPr sz="950" b="1" i="0" u="none" strike="noStrike" baseline="0">
                    <a:solidFill>
                      <a:srgbClr val="000000"/>
                    </a:solidFill>
                    <a:latin typeface="Frutiger 55 Roman"/>
                    <a:ea typeface="Frutiger 55 Roman"/>
                    <a:cs typeface="Frutiger 55 Roman"/>
                  </a:defRPr>
                </a:pPr>
                <a:r>
                  <a:rPr lang="en-US"/>
                  <a:t>Device Power (mW)</a:t>
                </a:r>
              </a:p>
            </c:rich>
          </c:tx>
          <c:layout>
            <c:manualLayout>
              <c:xMode val="edge"/>
              <c:yMode val="edge"/>
              <c:x val="3.8696537678207778E-2"/>
              <c:y val="0.25461300050259644"/>
            </c:manualLayout>
          </c:layout>
          <c:spPr>
            <a:noFill/>
            <a:ln w="25400">
              <a:noFill/>
            </a:ln>
          </c:spPr>
        </c:title>
        <c:numFmt formatCode="0" sourceLinked="0"/>
        <c:tickLblPos val="nextTo"/>
        <c:spPr>
          <a:ln w="3175">
            <a:solidFill>
              <a:srgbClr val="000000"/>
            </a:solidFill>
            <a:prstDash val="solid"/>
          </a:ln>
        </c:spPr>
        <c:txPr>
          <a:bodyPr rot="0" vert="horz"/>
          <a:lstStyle/>
          <a:p>
            <a:pPr>
              <a:defRPr sz="950" b="0" i="0" u="none" strike="noStrike" baseline="0">
                <a:solidFill>
                  <a:srgbClr val="000000"/>
                </a:solidFill>
                <a:latin typeface="Frutiger 55 Roman"/>
                <a:ea typeface="Frutiger 55 Roman"/>
                <a:cs typeface="Frutiger 55 Roman"/>
              </a:defRPr>
            </a:pPr>
            <a:endParaRPr lang="en-US"/>
          </a:p>
        </c:txPr>
        <c:crossAx val="157889280"/>
        <c:crosses val="autoZero"/>
        <c:crossBetween val="between"/>
      </c:valAx>
      <c:spPr>
        <a:solidFill>
          <a:srgbClr val="C0C0C0"/>
        </a:solidFill>
        <a:ln w="12700">
          <a:solidFill>
            <a:srgbClr val="808080"/>
          </a:solidFill>
          <a:prstDash val="solid"/>
        </a:ln>
      </c:spPr>
    </c:plotArea>
    <c:legend>
      <c:legendPos val="r"/>
      <c:layout>
        <c:manualLayout>
          <c:xMode val="edge"/>
          <c:yMode val="edge"/>
          <c:x val="0.67820773930753564"/>
          <c:y val="0.46863544982409117"/>
          <c:w val="0.30753564154786189"/>
          <c:h val="0.21402244932149467"/>
        </c:manualLayout>
      </c:layout>
      <c:spPr>
        <a:solidFill>
          <a:srgbClr val="FFFFFF"/>
        </a:solidFill>
        <a:ln w="3175">
          <a:solidFill>
            <a:srgbClr val="000000"/>
          </a:solidFill>
          <a:prstDash val="solid"/>
        </a:ln>
      </c:spPr>
      <c:txPr>
        <a:bodyPr/>
        <a:lstStyle/>
        <a:p>
          <a:pPr>
            <a:defRPr sz="735" b="0" i="0" u="none" strike="noStrike" baseline="0">
              <a:solidFill>
                <a:srgbClr val="000000"/>
              </a:solidFill>
              <a:latin typeface="Frutiger 55 Roman"/>
              <a:ea typeface="Frutiger 55 Roman"/>
              <a:cs typeface="Frutiger 55 Roman"/>
            </a:defRPr>
          </a:pPr>
          <a:endParaRPr lang="en-US"/>
        </a:p>
      </c:txPr>
    </c:legend>
    <c:plotVisOnly val="1"/>
    <c:dispBlanksAs val="gap"/>
  </c:chart>
  <c:spPr>
    <a:solidFill>
      <a:srgbClr val="FFFFFF"/>
    </a:solidFill>
    <a:ln w="3175">
      <a:solidFill>
        <a:srgbClr val="000000"/>
      </a:solidFill>
      <a:prstDash val="solid"/>
    </a:ln>
  </c:spPr>
  <c:txPr>
    <a:bodyPr/>
    <a:lstStyle/>
    <a:p>
      <a:pPr>
        <a:defRPr sz="950"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900" b="1" i="0" u="none" strike="noStrike" baseline="0">
                <a:solidFill>
                  <a:srgbClr val="000000"/>
                </a:solidFill>
                <a:latin typeface="Frutiger 55 Roman"/>
                <a:ea typeface="Frutiger 55 Roman"/>
                <a:cs typeface="Frutiger 55 Roman"/>
              </a:defRPr>
            </a:pPr>
            <a:r>
              <a:rPr lang="en-US"/>
              <a:t>Power Consumption Breakout</a:t>
            </a:r>
          </a:p>
        </c:rich>
      </c:tx>
      <c:layout>
        <c:manualLayout>
          <c:xMode val="edge"/>
          <c:yMode val="edge"/>
          <c:x val="0.39145492778315055"/>
          <c:y val="4.1096173022040425E-2"/>
        </c:manualLayout>
      </c:layout>
      <c:spPr>
        <a:noFill/>
        <a:ln w="25400">
          <a:noFill/>
        </a:ln>
      </c:spPr>
    </c:title>
    <c:plotArea>
      <c:layout>
        <c:manualLayout>
          <c:layoutTarget val="inner"/>
          <c:xMode val="edge"/>
          <c:yMode val="edge"/>
          <c:x val="7.0438799076212491E-2"/>
          <c:y val="0.15068560344250964"/>
          <c:w val="0.91339491916859483"/>
          <c:h val="0.70776571313906322"/>
        </c:manualLayout>
      </c:layout>
      <c:barChart>
        <c:barDir val="col"/>
        <c:grouping val="clustered"/>
        <c:ser>
          <c:idx val="0"/>
          <c:order val="0"/>
          <c:spPr>
            <a:solidFill>
              <a:srgbClr val="000080"/>
            </a:solidFill>
            <a:ln w="12700">
              <a:solidFill>
                <a:srgbClr val="000000"/>
              </a:solidFill>
              <a:prstDash val="solid"/>
            </a:ln>
          </c:spPr>
          <c:dLbls>
            <c:showVal val="1"/>
          </c:dLbls>
          <c:cat>
            <c:strRef>
              <c:f>(Summary!$B$12:$B$18,Summary!$B$21,Summary!$B$24:$B$26)</c:f>
              <c:strCache>
                <c:ptCount val="11"/>
                <c:pt idx="0">
                  <c:v>P(PRE_PDN)</c:v>
                </c:pt>
                <c:pt idx="1">
                  <c:v>P(PRE_STBY)</c:v>
                </c:pt>
                <c:pt idx="2">
                  <c:v>P(ACT_PDN)</c:v>
                </c:pt>
                <c:pt idx="3">
                  <c:v>P(ACT_STBY)</c:v>
                </c:pt>
                <c:pt idx="4">
                  <c:v>P(REF)</c:v>
                </c:pt>
                <c:pt idx="5">
                  <c:v>P(SREF)</c:v>
                </c:pt>
                <c:pt idx="6">
                  <c:v>P(DPD)</c:v>
                </c:pt>
                <c:pt idx="7">
                  <c:v>P(ACT)</c:v>
                </c:pt>
                <c:pt idx="8">
                  <c:v>P(WR)</c:v>
                </c:pt>
                <c:pt idx="9">
                  <c:v>P(RD)</c:v>
                </c:pt>
                <c:pt idx="10">
                  <c:v>P(DQ)</c:v>
                </c:pt>
              </c:strCache>
            </c:strRef>
          </c:cat>
          <c:val>
            <c:numRef>
              <c:f>(Summary!$D$12:$D$18,Summary!$D$21,Summary!$D$24:$D$26)</c:f>
              <c:numCache>
                <c:formatCode>0.0</c:formatCode>
                <c:ptCount val="11"/>
                <c:pt idx="0">
                  <c:v>0</c:v>
                </c:pt>
                <c:pt idx="1">
                  <c:v>6.4799999999999995</c:v>
                </c:pt>
                <c:pt idx="2">
                  <c:v>0</c:v>
                </c:pt>
                <c:pt idx="3">
                  <c:v>20.143038461538456</c:v>
                </c:pt>
                <c:pt idx="4">
                  <c:v>6.5446153846153843</c:v>
                </c:pt>
                <c:pt idx="5">
                  <c:v>0</c:v>
                </c:pt>
                <c:pt idx="6">
                  <c:v>0</c:v>
                </c:pt>
                <c:pt idx="7">
                  <c:v>47.000174034110685</c:v>
                </c:pt>
                <c:pt idx="8">
                  <c:v>1.5722307692307691</c:v>
                </c:pt>
                <c:pt idx="9">
                  <c:v>53.819786982248523</c:v>
                </c:pt>
                <c:pt idx="10">
                  <c:v>11.492000000000004</c:v>
                </c:pt>
              </c:numCache>
            </c:numRef>
          </c:val>
        </c:ser>
        <c:axId val="157923968"/>
        <c:axId val="157938048"/>
      </c:barChart>
      <c:catAx>
        <c:axId val="157923968"/>
        <c:scaling>
          <c:orientation val="minMax"/>
        </c:scaling>
        <c:axPos val="b"/>
        <c:numFmt formatCode="General" sourceLinked="1"/>
        <c:tickLblPos val="nextTo"/>
        <c:spPr>
          <a:ln w="3175">
            <a:solidFill>
              <a:srgbClr val="000000"/>
            </a:solidFill>
            <a:prstDash val="solid"/>
          </a:ln>
        </c:spPr>
        <c:txPr>
          <a:bodyPr rot="0" vert="horz"/>
          <a:lstStyle/>
          <a:p>
            <a:pPr>
              <a:defRPr sz="800" b="0" i="0" u="none" strike="noStrike" baseline="0">
                <a:solidFill>
                  <a:srgbClr val="000000"/>
                </a:solidFill>
                <a:latin typeface="Frutiger 55 Roman"/>
                <a:ea typeface="Frutiger 55 Roman"/>
                <a:cs typeface="Frutiger 55 Roman"/>
              </a:defRPr>
            </a:pPr>
            <a:endParaRPr lang="en-US"/>
          </a:p>
        </c:txPr>
        <c:crossAx val="157938048"/>
        <c:crosses val="autoZero"/>
        <c:auto val="1"/>
        <c:lblAlgn val="ctr"/>
        <c:lblOffset val="100"/>
        <c:tickLblSkip val="1"/>
        <c:tickMarkSkip val="1"/>
      </c:catAx>
      <c:valAx>
        <c:axId val="157938048"/>
        <c:scaling>
          <c:orientation val="minMax"/>
        </c:scaling>
        <c:axPos val="l"/>
        <c:majorGridlines>
          <c:spPr>
            <a:ln w="3175">
              <a:solidFill>
                <a:srgbClr val="000000"/>
              </a:solidFill>
              <a:prstDash val="solid"/>
            </a:ln>
          </c:spPr>
        </c:majorGridlines>
        <c:title>
          <c:tx>
            <c:rich>
              <a:bodyPr/>
              <a:lstStyle/>
              <a:p>
                <a:pPr>
                  <a:defRPr sz="875" b="1" i="0" u="none" strike="noStrike" baseline="0">
                    <a:solidFill>
                      <a:srgbClr val="000000"/>
                    </a:solidFill>
                    <a:latin typeface="Frutiger 55 Roman"/>
                    <a:ea typeface="Frutiger 55 Roman"/>
                    <a:cs typeface="Frutiger 55 Roman"/>
                  </a:defRPr>
                </a:pPr>
                <a:r>
                  <a:rPr lang="en-US"/>
                  <a:t>Power (mW)</a:t>
                </a:r>
              </a:p>
            </c:rich>
          </c:tx>
          <c:layout>
            <c:manualLayout>
              <c:xMode val="edge"/>
              <c:yMode val="edge"/>
              <c:x val="1.9630458473392585E-2"/>
              <c:y val="0.31963598436658308"/>
            </c:manualLayout>
          </c:layout>
          <c:spPr>
            <a:noFill/>
            <a:ln w="25400">
              <a:noFill/>
            </a:ln>
          </c:spPr>
        </c:title>
        <c:numFmt formatCode="0" sourceLinked="0"/>
        <c:tickLblPos val="nextTo"/>
        <c:spPr>
          <a:ln w="3175">
            <a:solidFill>
              <a:srgbClr val="000000"/>
            </a:solidFill>
            <a:prstDash val="solid"/>
          </a:ln>
        </c:spPr>
        <c:txPr>
          <a:bodyPr rot="0" vert="horz"/>
          <a:lstStyle/>
          <a:p>
            <a:pPr>
              <a:defRPr sz="800" b="0" i="0" u="none" strike="noStrike" baseline="0">
                <a:solidFill>
                  <a:srgbClr val="000000"/>
                </a:solidFill>
                <a:latin typeface="Frutiger 55 Roman"/>
                <a:ea typeface="Frutiger 55 Roman"/>
                <a:cs typeface="Frutiger 55 Roman"/>
              </a:defRPr>
            </a:pPr>
            <a:endParaRPr lang="en-US"/>
          </a:p>
        </c:txPr>
        <c:crossAx val="157923968"/>
        <c:crosses val="autoZero"/>
        <c:crossBetween val="between"/>
      </c:valAx>
      <c:spPr>
        <a:solidFill>
          <a:srgbClr val="C0C0C0"/>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9525</xdr:colOff>
      <xdr:row>0</xdr:row>
      <xdr:rowOff>0</xdr:rowOff>
    </xdr:from>
    <xdr:to>
      <xdr:col>3</xdr:col>
      <xdr:colOff>133350</xdr:colOff>
      <xdr:row>0</xdr:row>
      <xdr:rowOff>381000</xdr:rowOff>
    </xdr:to>
    <xdr:pic>
      <xdr:nvPicPr>
        <xdr:cNvPr id="512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390525" y="0"/>
          <a:ext cx="1381125" cy="3810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1019175</xdr:colOff>
      <xdr:row>0</xdr:row>
      <xdr:rowOff>381000</xdr:rowOff>
    </xdr:to>
    <xdr:pic>
      <xdr:nvPicPr>
        <xdr:cNvPr id="6147"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381000" y="0"/>
          <a:ext cx="1381125" cy="3810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457200</xdr:colOff>
      <xdr:row>0</xdr:row>
      <xdr:rowOff>485775</xdr:rowOff>
    </xdr:to>
    <xdr:pic>
      <xdr:nvPicPr>
        <xdr:cNvPr id="7171"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381000" y="0"/>
          <a:ext cx="1476375" cy="48577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85725</xdr:colOff>
      <xdr:row>3</xdr:row>
      <xdr:rowOff>0</xdr:rowOff>
    </xdr:from>
    <xdr:to>
      <xdr:col>5</xdr:col>
      <xdr:colOff>276225</xdr:colOff>
      <xdr:row>6</xdr:row>
      <xdr:rowOff>228600</xdr:rowOff>
    </xdr:to>
    <xdr:sp macro="" textlink="">
      <xdr:nvSpPr>
        <xdr:cNvPr id="3089" name="AutoShape 9"/>
        <xdr:cNvSpPr>
          <a:spLocks/>
        </xdr:cNvSpPr>
      </xdr:nvSpPr>
      <xdr:spPr bwMode="auto">
        <a:xfrm>
          <a:off x="6562725" y="942975"/>
          <a:ext cx="190500" cy="942975"/>
        </a:xfrm>
        <a:prstGeom prst="rightBrace">
          <a:avLst>
            <a:gd name="adj1" fmla="val 69460"/>
            <a:gd name="adj2" fmla="val 50000"/>
          </a:avLst>
        </a:prstGeom>
        <a:noFill/>
        <a:ln w="28575">
          <a:solidFill>
            <a:srgbClr val="00685C"/>
          </a:solidFill>
          <a:round/>
          <a:headEnd/>
          <a:tailEnd/>
        </a:ln>
      </xdr:spPr>
    </xdr:sp>
    <xdr:clientData/>
  </xdr:twoCellAnchor>
  <xdr:twoCellAnchor editAs="oneCell">
    <xdr:from>
      <xdr:col>5</xdr:col>
      <xdr:colOff>372596</xdr:colOff>
      <xdr:row>3</xdr:row>
      <xdr:rowOff>24654</xdr:rowOff>
    </xdr:from>
    <xdr:to>
      <xdr:col>9</xdr:col>
      <xdr:colOff>315446</xdr:colOff>
      <xdr:row>6</xdr:row>
      <xdr:rowOff>44824</xdr:rowOff>
    </xdr:to>
    <xdr:sp macro="" textlink="">
      <xdr:nvSpPr>
        <xdr:cNvPr id="3" name="Text Box 10"/>
        <xdr:cNvSpPr txBox="1">
          <a:spLocks noChangeArrowheads="1"/>
        </xdr:cNvSpPr>
      </xdr:nvSpPr>
      <xdr:spPr bwMode="auto">
        <a:xfrm>
          <a:off x="6849596" y="853889"/>
          <a:ext cx="2419350" cy="726141"/>
        </a:xfrm>
        <a:prstGeom prst="rect">
          <a:avLst/>
        </a:prstGeom>
        <a:solidFill>
          <a:srgbClr val="00685C"/>
        </a:solidFill>
        <a:ln w="9525">
          <a:noFill/>
          <a:miter lim="800000"/>
          <a:headEnd/>
          <a:tailEnd/>
        </a:ln>
        <a:effectLst>
          <a:outerShdw dist="107763" dir="2700000" algn="ctr" rotWithShape="0">
            <a:srgbClr val="808080">
              <a:alpha val="50000"/>
            </a:srgbClr>
          </a:outerShdw>
        </a:effectLst>
      </xdr:spPr>
      <xdr:txBody>
        <a:bodyPr vertOverflow="clip" wrap="square" lIns="36576" tIns="27432" rIns="0" bIns="27432" anchor="ctr" upright="1"/>
        <a:lstStyle/>
        <a:p>
          <a:pPr algn="l" rtl="0">
            <a:defRPr sz="1000"/>
          </a:pPr>
          <a:r>
            <a:rPr lang="en-US" sz="1200" b="1" i="0" strike="noStrike">
              <a:solidFill>
                <a:srgbClr val="FFFFFF"/>
              </a:solidFill>
              <a:latin typeface="Arial"/>
              <a:cs typeface="Arial"/>
            </a:rPr>
            <a:t>Inputs for DRAM selection are chosen here.</a:t>
          </a:r>
        </a:p>
      </xdr:txBody>
    </xdr:sp>
    <xdr:clientData/>
  </xdr:twoCellAnchor>
  <xdr:twoCellAnchor>
    <xdr:from>
      <xdr:col>7</xdr:col>
      <xdr:colOff>47625</xdr:colOff>
      <xdr:row>8</xdr:row>
      <xdr:rowOff>19050</xdr:rowOff>
    </xdr:from>
    <xdr:to>
      <xdr:col>7</xdr:col>
      <xdr:colOff>238125</xdr:colOff>
      <xdr:row>37</xdr:row>
      <xdr:rowOff>200025</xdr:rowOff>
    </xdr:to>
    <xdr:sp macro="" textlink="">
      <xdr:nvSpPr>
        <xdr:cNvPr id="3091" name="AutoShape 11"/>
        <xdr:cNvSpPr>
          <a:spLocks/>
        </xdr:cNvSpPr>
      </xdr:nvSpPr>
      <xdr:spPr bwMode="auto">
        <a:xfrm>
          <a:off x="7486650" y="2286000"/>
          <a:ext cx="190500" cy="5686425"/>
        </a:xfrm>
        <a:prstGeom prst="rightBrace">
          <a:avLst>
            <a:gd name="adj1" fmla="val 214892"/>
            <a:gd name="adj2" fmla="val 50000"/>
          </a:avLst>
        </a:prstGeom>
        <a:noFill/>
        <a:ln w="28575">
          <a:solidFill>
            <a:srgbClr val="0C2577"/>
          </a:solidFill>
          <a:round/>
          <a:headEnd/>
          <a:tailEnd/>
        </a:ln>
      </xdr:spPr>
    </xdr:sp>
    <xdr:clientData/>
  </xdr:twoCellAnchor>
  <xdr:twoCellAnchor editAs="oneCell">
    <xdr:from>
      <xdr:col>7</xdr:col>
      <xdr:colOff>304800</xdr:colOff>
      <xdr:row>20</xdr:row>
      <xdr:rowOff>66675</xdr:rowOff>
    </xdr:from>
    <xdr:to>
      <xdr:col>11</xdr:col>
      <xdr:colOff>33618</xdr:colOff>
      <xdr:row>27</xdr:row>
      <xdr:rowOff>28575</xdr:rowOff>
    </xdr:to>
    <xdr:sp macro="" textlink="">
      <xdr:nvSpPr>
        <xdr:cNvPr id="5" name="Text Box 13"/>
        <xdr:cNvSpPr txBox="1">
          <a:spLocks noChangeArrowheads="1"/>
        </xdr:cNvSpPr>
      </xdr:nvSpPr>
      <xdr:spPr bwMode="auto">
        <a:xfrm>
          <a:off x="6105525" y="5019675"/>
          <a:ext cx="2638425" cy="1228725"/>
        </a:xfrm>
        <a:prstGeom prst="rect">
          <a:avLst/>
        </a:prstGeom>
        <a:solidFill>
          <a:srgbClr val="003366"/>
        </a:solidFill>
        <a:ln w="9525">
          <a:noFill/>
          <a:miter lim="800000"/>
          <a:headEnd/>
          <a:tailEnd/>
        </a:ln>
        <a:effectLst>
          <a:outerShdw dist="107763" dir="2700000" algn="ctr" rotWithShape="0">
            <a:srgbClr val="808080">
              <a:alpha val="50000"/>
            </a:srgbClr>
          </a:outerShdw>
        </a:effectLst>
      </xdr:spPr>
      <xdr:txBody>
        <a:bodyPr vertOverflow="clip" wrap="square" lIns="36576" tIns="27432" rIns="0" bIns="27432" anchor="ctr" upright="1"/>
        <a:lstStyle/>
        <a:p>
          <a:pPr algn="l" rtl="0">
            <a:defRPr sz="1000"/>
          </a:pPr>
          <a:r>
            <a:rPr lang="en-US" sz="1200" b="1" i="0" strike="noStrike">
              <a:solidFill>
                <a:srgbClr val="FFFFFF"/>
              </a:solidFill>
              <a:latin typeface="Arial"/>
              <a:cs typeface="Arial"/>
            </a:rPr>
            <a:t>Values are extracted from </a:t>
          </a:r>
        </a:p>
        <a:p>
          <a:pPr algn="l" rtl="0">
            <a:defRPr sz="1000"/>
          </a:pPr>
          <a:r>
            <a:rPr lang="en-US" sz="1200" b="1" i="0" strike="noStrike">
              <a:solidFill>
                <a:srgbClr val="FFFFFF"/>
              </a:solidFill>
              <a:latin typeface="Arial"/>
              <a:cs typeface="Arial"/>
            </a:rPr>
            <a:t>"LPDDR2-S4 Specs" tab. Please confirm the numbers in that worksheet are updated prior to use.</a:t>
          </a:r>
        </a:p>
      </xdr:txBody>
    </xdr:sp>
    <xdr:clientData/>
  </xdr:twoCellAnchor>
  <xdr:twoCellAnchor editAs="oneCell">
    <xdr:from>
      <xdr:col>1</xdr:col>
      <xdr:colOff>0</xdr:colOff>
      <xdr:row>0</xdr:row>
      <xdr:rowOff>0</xdr:rowOff>
    </xdr:from>
    <xdr:to>
      <xdr:col>2</xdr:col>
      <xdr:colOff>762000</xdr:colOff>
      <xdr:row>0</xdr:row>
      <xdr:rowOff>495300</xdr:rowOff>
    </xdr:to>
    <xdr:pic>
      <xdr:nvPicPr>
        <xdr:cNvPr id="3093" name="Picture 14"/>
        <xdr:cNvPicPr>
          <a:picLocks noChangeAspect="1" noChangeArrowheads="1"/>
        </xdr:cNvPicPr>
      </xdr:nvPicPr>
      <xdr:blipFill>
        <a:blip xmlns:r="http://schemas.openxmlformats.org/officeDocument/2006/relationships" r:embed="rId1" cstate="print"/>
        <a:srcRect/>
        <a:stretch>
          <a:fillRect/>
        </a:stretch>
      </xdr:blipFill>
      <xdr:spPr bwMode="auto">
        <a:xfrm>
          <a:off x="419100" y="0"/>
          <a:ext cx="1495425" cy="4953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1485900</xdr:colOff>
      <xdr:row>0</xdr:row>
      <xdr:rowOff>495300</xdr:rowOff>
    </xdr:to>
    <xdr:pic>
      <xdr:nvPicPr>
        <xdr:cNvPr id="8195" name="Picture 14"/>
        <xdr:cNvPicPr>
          <a:picLocks noChangeAspect="1" noChangeArrowheads="1"/>
        </xdr:cNvPicPr>
      </xdr:nvPicPr>
      <xdr:blipFill>
        <a:blip xmlns:r="http://schemas.openxmlformats.org/officeDocument/2006/relationships" r:embed="rId1" cstate="print"/>
        <a:srcRect/>
        <a:stretch>
          <a:fillRect/>
        </a:stretch>
      </xdr:blipFill>
      <xdr:spPr bwMode="auto">
        <a:xfrm>
          <a:off x="381000" y="0"/>
          <a:ext cx="1485900" cy="49530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6</xdr:col>
      <xdr:colOff>1038225</xdr:colOff>
      <xdr:row>18</xdr:row>
      <xdr:rowOff>0</xdr:rowOff>
    </xdr:from>
    <xdr:to>
      <xdr:col>6</xdr:col>
      <xdr:colOff>1047750</xdr:colOff>
      <xdr:row>19</xdr:row>
      <xdr:rowOff>152400</xdr:rowOff>
    </xdr:to>
    <xdr:sp macro="" textlink="">
      <xdr:nvSpPr>
        <xdr:cNvPr id="4103" name="Line 3"/>
        <xdr:cNvSpPr>
          <a:spLocks noChangeShapeType="1"/>
        </xdr:cNvSpPr>
      </xdr:nvSpPr>
      <xdr:spPr bwMode="auto">
        <a:xfrm flipH="1" flipV="1">
          <a:off x="6486525" y="6591300"/>
          <a:ext cx="0" cy="314325"/>
        </a:xfrm>
        <a:prstGeom prst="line">
          <a:avLst/>
        </a:prstGeom>
        <a:noFill/>
        <a:ln w="9525">
          <a:solidFill>
            <a:srgbClr val="000000"/>
          </a:solidFill>
          <a:round/>
          <a:headEnd/>
          <a:tailEnd type="triangle" w="med" len="med"/>
        </a:ln>
      </xdr:spPr>
    </xdr:sp>
    <xdr:clientData/>
  </xdr:twoCellAnchor>
  <xdr:twoCellAnchor>
    <xdr:from>
      <xdr:col>10</xdr:col>
      <xdr:colOff>1019175</xdr:colOff>
      <xdr:row>18</xdr:row>
      <xdr:rowOff>0</xdr:rowOff>
    </xdr:from>
    <xdr:to>
      <xdr:col>10</xdr:col>
      <xdr:colOff>1028700</xdr:colOff>
      <xdr:row>19</xdr:row>
      <xdr:rowOff>152400</xdr:rowOff>
    </xdr:to>
    <xdr:sp macro="" textlink="">
      <xdr:nvSpPr>
        <xdr:cNvPr id="4104" name="Line 5"/>
        <xdr:cNvSpPr>
          <a:spLocks noChangeShapeType="1"/>
        </xdr:cNvSpPr>
      </xdr:nvSpPr>
      <xdr:spPr bwMode="auto">
        <a:xfrm flipH="1" flipV="1">
          <a:off x="9725025" y="6591300"/>
          <a:ext cx="0" cy="314325"/>
        </a:xfrm>
        <a:prstGeom prst="line">
          <a:avLst/>
        </a:prstGeom>
        <a:noFill/>
        <a:ln w="9525">
          <a:solidFill>
            <a:srgbClr val="000000"/>
          </a:solidFill>
          <a:round/>
          <a:headEnd/>
          <a:tailEnd type="triangle" w="med" len="med"/>
        </a:ln>
      </xdr:spPr>
    </xdr:sp>
    <xdr:clientData/>
  </xdr:twoCellAnchor>
  <xdr:twoCellAnchor>
    <xdr:from>
      <xdr:col>1</xdr:col>
      <xdr:colOff>0</xdr:colOff>
      <xdr:row>0</xdr:row>
      <xdr:rowOff>0</xdr:rowOff>
    </xdr:from>
    <xdr:to>
      <xdr:col>2</xdr:col>
      <xdr:colOff>114300</xdr:colOff>
      <xdr:row>0</xdr:row>
      <xdr:rowOff>381000</xdr:rowOff>
    </xdr:to>
    <xdr:pic>
      <xdr:nvPicPr>
        <xdr:cNvPr id="4105"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381000" y="0"/>
          <a:ext cx="1343025" cy="38100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5</xdr:col>
      <xdr:colOff>247650</xdr:colOff>
      <xdr:row>6</xdr:row>
      <xdr:rowOff>19050</xdr:rowOff>
    </xdr:from>
    <xdr:to>
      <xdr:col>13</xdr:col>
      <xdr:colOff>47625</xdr:colOff>
      <xdr:row>28</xdr:row>
      <xdr:rowOff>9525</xdr:rowOff>
    </xdr:to>
    <xdr:graphicFrame macro="">
      <xdr:nvGraphicFramePr>
        <xdr:cNvPr id="922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352425</xdr:colOff>
      <xdr:row>29</xdr:row>
      <xdr:rowOff>38100</xdr:rowOff>
    </xdr:from>
    <xdr:to>
      <xdr:col>13</xdr:col>
      <xdr:colOff>38100</xdr:colOff>
      <xdr:row>42</xdr:row>
      <xdr:rowOff>38100</xdr:rowOff>
    </xdr:to>
    <xdr:graphicFrame macro="">
      <xdr:nvGraphicFramePr>
        <xdr:cNvPr id="922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0</xdr:row>
      <xdr:rowOff>0</xdr:rowOff>
    </xdr:from>
    <xdr:to>
      <xdr:col>2</xdr:col>
      <xdr:colOff>1200150</xdr:colOff>
      <xdr:row>0</xdr:row>
      <xdr:rowOff>371475</xdr:rowOff>
    </xdr:to>
    <xdr:pic>
      <xdr:nvPicPr>
        <xdr:cNvPr id="9225" name="Picture 3"/>
        <xdr:cNvPicPr>
          <a:picLocks noChangeAspect="1" noChangeArrowheads="1"/>
        </xdr:cNvPicPr>
      </xdr:nvPicPr>
      <xdr:blipFill>
        <a:blip xmlns:r="http://schemas.openxmlformats.org/officeDocument/2006/relationships" r:embed="rId3" cstate="print"/>
        <a:srcRect/>
        <a:stretch>
          <a:fillRect/>
        </a:stretch>
      </xdr:blipFill>
      <xdr:spPr bwMode="auto">
        <a:xfrm>
          <a:off x="381000" y="0"/>
          <a:ext cx="1381125" cy="3714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obilesupport@micron.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Sheet1">
    <pageSetUpPr fitToPage="1"/>
  </sheetPr>
  <dimension ref="B1:D25"/>
  <sheetViews>
    <sheetView showGridLines="0" workbookViewId="0"/>
  </sheetViews>
  <sheetFormatPr defaultRowHeight="13.2"/>
  <cols>
    <col min="1" max="1" width="5.6640625" customWidth="1"/>
    <col min="2" max="2" width="15.109375" customWidth="1"/>
    <col min="3" max="3" width="3.6640625" customWidth="1"/>
    <col min="4" max="4" width="58.44140625" bestFit="1" customWidth="1"/>
  </cols>
  <sheetData>
    <row r="1" spans="2:4" ht="42.75" customHeight="1" thickBot="1"/>
    <row r="2" spans="2:4">
      <c r="B2" s="32" t="s">
        <v>15</v>
      </c>
      <c r="C2" s="33" t="s">
        <v>24</v>
      </c>
      <c r="D2" s="34" t="s">
        <v>324</v>
      </c>
    </row>
    <row r="3" spans="2:4">
      <c r="B3" s="35" t="s">
        <v>16</v>
      </c>
      <c r="C3" s="36" t="s">
        <v>24</v>
      </c>
      <c r="D3" s="48">
        <v>0.6</v>
      </c>
    </row>
    <row r="4" spans="2:4">
      <c r="B4" s="35" t="s">
        <v>17</v>
      </c>
      <c r="C4" s="36" t="s">
        <v>24</v>
      </c>
      <c r="D4" s="37">
        <v>41411</v>
      </c>
    </row>
    <row r="5" spans="2:4">
      <c r="B5" s="35"/>
      <c r="C5" s="36"/>
      <c r="D5" s="38"/>
    </row>
    <row r="6" spans="2:4">
      <c r="B6" s="35" t="s">
        <v>19</v>
      </c>
      <c r="C6" s="36" t="s">
        <v>24</v>
      </c>
      <c r="D6" s="55" t="s">
        <v>82</v>
      </c>
    </row>
    <row r="7" spans="2:4">
      <c r="B7" s="35" t="s">
        <v>18</v>
      </c>
      <c r="C7" s="36" t="s">
        <v>24</v>
      </c>
      <c r="D7" s="38" t="s">
        <v>23</v>
      </c>
    </row>
    <row r="8" spans="2:4">
      <c r="B8" s="35"/>
      <c r="C8" s="36"/>
      <c r="D8" s="38"/>
    </row>
    <row r="9" spans="2:4" ht="26.4">
      <c r="B9" s="35" t="s">
        <v>20</v>
      </c>
      <c r="C9" s="36" t="s">
        <v>24</v>
      </c>
      <c r="D9" s="38" t="s">
        <v>83</v>
      </c>
    </row>
    <row r="10" spans="2:4">
      <c r="B10" s="35"/>
      <c r="C10" s="36"/>
      <c r="D10" s="38"/>
    </row>
    <row r="11" spans="2:4">
      <c r="B11" s="35" t="s">
        <v>31</v>
      </c>
      <c r="C11" s="36" t="s">
        <v>24</v>
      </c>
      <c r="D11" s="38"/>
    </row>
    <row r="12" spans="2:4">
      <c r="B12" s="35"/>
      <c r="C12" s="36"/>
      <c r="D12" s="38"/>
    </row>
    <row r="13" spans="2:4">
      <c r="B13" s="35" t="s">
        <v>21</v>
      </c>
      <c r="C13" s="36" t="s">
        <v>24</v>
      </c>
      <c r="D13" s="38" t="s">
        <v>88</v>
      </c>
    </row>
    <row r="14" spans="2:4">
      <c r="B14" s="35"/>
      <c r="C14" s="36"/>
      <c r="D14" s="38" t="s">
        <v>314</v>
      </c>
    </row>
    <row r="15" spans="2:4">
      <c r="B15" s="35"/>
      <c r="C15" s="36"/>
      <c r="D15" s="38" t="s">
        <v>325</v>
      </c>
    </row>
    <row r="16" spans="2:4" ht="26.4">
      <c r="B16" s="35"/>
      <c r="C16" s="36"/>
      <c r="D16" s="38" t="s">
        <v>326</v>
      </c>
    </row>
    <row r="17" spans="2:4" ht="28.5" customHeight="1">
      <c r="B17" s="35"/>
      <c r="C17" s="36"/>
      <c r="D17" s="38" t="s">
        <v>327</v>
      </c>
    </row>
    <row r="18" spans="2:4" ht="56.25" customHeight="1">
      <c r="B18" s="35"/>
      <c r="C18" s="36"/>
      <c r="D18" s="38" t="s">
        <v>328</v>
      </c>
    </row>
    <row r="19" spans="2:4">
      <c r="B19" s="35"/>
      <c r="C19" s="36"/>
      <c r="D19" s="38"/>
    </row>
    <row r="20" spans="2:4" ht="158.4">
      <c r="B20" s="35" t="s">
        <v>22</v>
      </c>
      <c r="C20" s="36" t="s">
        <v>24</v>
      </c>
      <c r="D20" s="38" t="s">
        <v>53</v>
      </c>
    </row>
    <row r="21" spans="2:4" ht="26.4">
      <c r="B21" s="35"/>
      <c r="C21" s="36"/>
      <c r="D21" s="38" t="s">
        <v>54</v>
      </c>
    </row>
    <row r="22" spans="2:4">
      <c r="B22" s="35"/>
      <c r="C22" s="36"/>
      <c r="D22" s="38"/>
    </row>
    <row r="23" spans="2:4">
      <c r="B23" s="35"/>
      <c r="C23" s="36"/>
      <c r="D23" s="38"/>
    </row>
    <row r="24" spans="2:4">
      <c r="B24" s="35"/>
      <c r="C24" s="36"/>
      <c r="D24" s="38" t="s">
        <v>89</v>
      </c>
    </row>
    <row r="25" spans="2:4" ht="13.8" thickBot="1">
      <c r="B25" s="39"/>
      <c r="C25" s="49"/>
      <c r="D25" s="40" t="s">
        <v>47</v>
      </c>
    </row>
  </sheetData>
  <phoneticPr fontId="0" type="noConversion"/>
  <hyperlinks>
    <hyperlink ref="D6" r:id="rId1"/>
  </hyperlinks>
  <pageMargins left="0.75" right="0.75" top="1" bottom="1" header="0.5" footer="0.5"/>
  <pageSetup orientation="landscape" r:id="rId2"/>
  <headerFooter alignWithMargins="0"/>
  <drawing r:id="rId3"/>
</worksheet>
</file>

<file path=xl/worksheets/sheet2.xml><?xml version="1.0" encoding="utf-8"?>
<worksheet xmlns="http://schemas.openxmlformats.org/spreadsheetml/2006/main" xmlns:r="http://schemas.openxmlformats.org/officeDocument/2006/relationships">
  <sheetPr codeName="Sheet2"/>
  <dimension ref="B1:C45"/>
  <sheetViews>
    <sheetView showGridLines="0" zoomScale="90" zoomScaleNormal="90" workbookViewId="0">
      <selection activeCell="B2" sqref="B2:C2"/>
    </sheetView>
  </sheetViews>
  <sheetFormatPr defaultColWidth="9.109375" defaultRowHeight="13.2"/>
  <cols>
    <col min="1" max="1" width="5.6640625" style="50" customWidth="1"/>
    <col min="2" max="2" width="5.44140625" style="50" customWidth="1"/>
    <col min="3" max="3" width="117" style="50" customWidth="1"/>
    <col min="4" max="4" width="19.6640625" style="50" customWidth="1"/>
    <col min="5" max="16384" width="9.109375" style="50"/>
  </cols>
  <sheetData>
    <row r="1" spans="2:3" ht="41.25" customHeight="1"/>
    <row r="2" spans="2:3" ht="17.399999999999999">
      <c r="B2" s="169" t="s">
        <v>74</v>
      </c>
      <c r="C2" s="169"/>
    </row>
    <row r="3" spans="2:3" ht="15.6">
      <c r="B3" s="52" t="s">
        <v>308</v>
      </c>
    </row>
    <row r="4" spans="2:3" s="53" customFormat="1">
      <c r="C4" s="51" t="s">
        <v>309</v>
      </c>
    </row>
    <row r="5" spans="2:3" s="53" customFormat="1">
      <c r="C5" s="51" t="s">
        <v>310</v>
      </c>
    </row>
    <row r="6" spans="2:3">
      <c r="C6" s="51"/>
    </row>
    <row r="7" spans="2:3" ht="15.6">
      <c r="B7" s="52" t="s">
        <v>80</v>
      </c>
      <c r="C7" s="51"/>
    </row>
    <row r="8" spans="2:3" s="53" customFormat="1">
      <c r="C8" s="51" t="s">
        <v>106</v>
      </c>
    </row>
    <row r="9" spans="2:3" s="53" customFormat="1">
      <c r="C9" s="51" t="s">
        <v>103</v>
      </c>
    </row>
    <row r="10" spans="2:3" s="53" customFormat="1" ht="27" customHeight="1">
      <c r="C10" s="51" t="s">
        <v>104</v>
      </c>
    </row>
    <row r="11" spans="2:3" s="53" customFormat="1">
      <c r="C11" s="51" t="s">
        <v>105</v>
      </c>
    </row>
    <row r="12" spans="2:3" s="53" customFormat="1">
      <c r="C12" s="51" t="s">
        <v>107</v>
      </c>
    </row>
    <row r="13" spans="2:3" s="53" customFormat="1" ht="26.4">
      <c r="C13" s="51" t="s">
        <v>108</v>
      </c>
    </row>
    <row r="14" spans="2:3" ht="26.4">
      <c r="C14" s="51" t="s">
        <v>109</v>
      </c>
    </row>
    <row r="15" spans="2:3" s="53" customFormat="1" ht="52.8">
      <c r="C15" s="51" t="s">
        <v>110</v>
      </c>
    </row>
    <row r="16" spans="2:3" s="53" customFormat="1">
      <c r="C16" s="51" t="s">
        <v>111</v>
      </c>
    </row>
    <row r="17" spans="2:3" s="53" customFormat="1">
      <c r="C17" s="51" t="s">
        <v>112</v>
      </c>
    </row>
    <row r="18" spans="2:3" s="53" customFormat="1">
      <c r="C18" s="51" t="s">
        <v>116</v>
      </c>
    </row>
    <row r="19" spans="2:3" s="53" customFormat="1">
      <c r="C19" s="51" t="s">
        <v>117</v>
      </c>
    </row>
    <row r="20" spans="2:3" s="53" customFormat="1" ht="26.4">
      <c r="C20" s="51" t="s">
        <v>119</v>
      </c>
    </row>
    <row r="21" spans="2:3" s="53" customFormat="1">
      <c r="C21" s="51" t="s">
        <v>118</v>
      </c>
    </row>
    <row r="22" spans="2:3">
      <c r="C22" s="51"/>
    </row>
    <row r="23" spans="2:3" ht="15.6">
      <c r="B23" s="52" t="s">
        <v>75</v>
      </c>
      <c r="C23" s="51"/>
    </row>
    <row r="24" spans="2:3" ht="39.6">
      <c r="C24" s="51" t="s">
        <v>81</v>
      </c>
    </row>
    <row r="25" spans="2:3">
      <c r="C25" s="51"/>
    </row>
    <row r="26" spans="2:3" ht="15.6">
      <c r="B26" s="52" t="s">
        <v>76</v>
      </c>
      <c r="C26" s="51"/>
    </row>
    <row r="27" spans="2:3" ht="52.8">
      <c r="C27" s="51" t="s">
        <v>77</v>
      </c>
    </row>
    <row r="28" spans="2:3">
      <c r="C28" s="51"/>
    </row>
    <row r="29" spans="2:3">
      <c r="C29" s="51"/>
    </row>
    <row r="30" spans="2:3">
      <c r="C30" s="51"/>
    </row>
    <row r="31" spans="2:3">
      <c r="C31" s="51"/>
    </row>
    <row r="32" spans="2:3">
      <c r="C32" s="51"/>
    </row>
    <row r="33" spans="3:3">
      <c r="C33" s="51"/>
    </row>
    <row r="34" spans="3:3">
      <c r="C34" s="51"/>
    </row>
    <row r="35" spans="3:3">
      <c r="C35" s="51"/>
    </row>
    <row r="36" spans="3:3">
      <c r="C36" s="51"/>
    </row>
    <row r="37" spans="3:3">
      <c r="C37" s="51"/>
    </row>
    <row r="38" spans="3:3">
      <c r="C38" s="51"/>
    </row>
    <row r="39" spans="3:3">
      <c r="C39" s="51"/>
    </row>
    <row r="40" spans="3:3">
      <c r="C40" s="51"/>
    </row>
    <row r="41" spans="3:3">
      <c r="C41" s="51"/>
    </row>
    <row r="42" spans="3:3">
      <c r="C42" s="51"/>
    </row>
    <row r="43" spans="3:3">
      <c r="C43" s="51"/>
    </row>
    <row r="44" spans="3:3">
      <c r="C44" s="51"/>
    </row>
    <row r="45" spans="3:3">
      <c r="C45" s="51"/>
    </row>
  </sheetData>
  <mergeCells count="1">
    <mergeCell ref="B2:C2"/>
  </mergeCells>
  <phoneticPr fontId="0" type="noConversion"/>
  <pageMargins left="0.75" right="0.75" top="1" bottom="1" header="0.5"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sheetPr codeName="Sheet8">
    <pageSetUpPr fitToPage="1"/>
  </sheetPr>
  <dimension ref="B1:AH283"/>
  <sheetViews>
    <sheetView showGridLines="0" tabSelected="1" topLeftCell="A22" zoomScale="85" workbookViewId="0">
      <pane xSplit="4" topLeftCell="M1" activePane="topRight" state="frozen"/>
      <selection pane="topRight" activeCell="AE38" sqref="AE38"/>
    </sheetView>
  </sheetViews>
  <sheetFormatPr defaultRowHeight="13.2"/>
  <cols>
    <col min="1" max="1" width="5.6640625" customWidth="1"/>
    <col min="2" max="2" width="15.33203125" customWidth="1"/>
    <col min="3" max="3" width="38.33203125" style="131" customWidth="1"/>
    <col min="4" max="4" width="13.44140625" style="8" hidden="1" customWidth="1"/>
    <col min="5" max="5" width="7" style="80" hidden="1" customWidth="1"/>
    <col min="6" max="7" width="6.109375" style="80" hidden="1" customWidth="1"/>
    <col min="8" max="8" width="8.5546875" style="80" hidden="1" customWidth="1"/>
    <col min="9" max="9" width="6.109375" style="80" hidden="1" customWidth="1"/>
    <col min="10" max="10" width="1.44140625" style="80" hidden="1" customWidth="1"/>
    <col min="11" max="11" width="7" style="80" hidden="1" customWidth="1"/>
    <col min="12" max="13" width="5.88671875" style="80" hidden="1" customWidth="1"/>
    <col min="14" max="14" width="6.109375" style="80" hidden="1" customWidth="1"/>
    <col min="15" max="15" width="5.88671875" style="80" hidden="1" customWidth="1"/>
    <col min="16" max="16" width="1.33203125" style="80" hidden="1" customWidth="1"/>
    <col min="17" max="21" width="7" style="80" hidden="1" customWidth="1"/>
    <col min="22" max="22" width="1.33203125" hidden="1" customWidth="1"/>
    <col min="23" max="27" width="7" hidden="1" customWidth="1"/>
    <col min="28" max="28" width="1.33203125" hidden="1" customWidth="1"/>
    <col min="29" max="33" width="7" bestFit="1" customWidth="1"/>
    <col min="34" max="34" width="4.33203125" bestFit="1" customWidth="1"/>
    <col min="35" max="252" width="8.88671875" customWidth="1"/>
    <col min="253" max="253" width="15.33203125" customWidth="1"/>
    <col min="254" max="254" width="38.33203125" customWidth="1"/>
    <col min="255" max="255" width="13.44140625" customWidth="1"/>
  </cols>
  <sheetData>
    <row r="1" spans="2:34" ht="42" customHeight="1">
      <c r="B1" s="79"/>
      <c r="C1"/>
      <c r="D1" s="4"/>
      <c r="H1"/>
      <c r="I1"/>
    </row>
    <row r="2" spans="2:34" ht="17.100000000000001" customHeight="1">
      <c r="B2" s="102"/>
      <c r="C2" s="103"/>
      <c r="D2" s="102"/>
      <c r="E2" s="190" t="s">
        <v>296</v>
      </c>
      <c r="F2" s="191"/>
      <c r="G2" s="191"/>
      <c r="H2" s="191"/>
      <c r="I2" s="191"/>
      <c r="J2" s="104"/>
      <c r="K2" s="190" t="s">
        <v>297</v>
      </c>
      <c r="L2" s="191"/>
      <c r="M2" s="191"/>
      <c r="N2" s="191"/>
      <c r="O2" s="191"/>
      <c r="P2" s="104"/>
      <c r="Q2" s="190" t="s">
        <v>298</v>
      </c>
      <c r="R2" s="191"/>
      <c r="S2" s="191"/>
      <c r="T2" s="191"/>
      <c r="U2" s="191"/>
      <c r="W2" s="190" t="s">
        <v>299</v>
      </c>
      <c r="X2" s="191"/>
      <c r="Y2" s="191"/>
      <c r="Z2" s="191"/>
      <c r="AA2" s="191"/>
      <c r="AC2" s="190" t="s">
        <v>300</v>
      </c>
      <c r="AD2" s="191"/>
      <c r="AE2" s="191"/>
      <c r="AF2" s="191"/>
      <c r="AG2" s="191"/>
      <c r="AH2" s="105"/>
    </row>
    <row r="3" spans="2:34" ht="17.100000000000001" customHeight="1">
      <c r="B3" s="136" t="s">
        <v>28</v>
      </c>
      <c r="C3" s="137" t="s">
        <v>29</v>
      </c>
      <c r="D3" s="136" t="s">
        <v>29</v>
      </c>
      <c r="E3" s="138" t="s">
        <v>198</v>
      </c>
      <c r="F3" s="138" t="s">
        <v>177</v>
      </c>
      <c r="G3" s="138" t="s">
        <v>178</v>
      </c>
      <c r="H3" s="138" t="s">
        <v>199</v>
      </c>
      <c r="I3" s="138" t="s">
        <v>200</v>
      </c>
      <c r="J3" s="106"/>
      <c r="K3" s="138" t="s">
        <v>198</v>
      </c>
      <c r="L3" s="138" t="s">
        <v>177</v>
      </c>
      <c r="M3" s="138" t="s">
        <v>178</v>
      </c>
      <c r="N3" s="138" t="s">
        <v>199</v>
      </c>
      <c r="O3" s="138" t="s">
        <v>200</v>
      </c>
      <c r="P3" s="106"/>
      <c r="Q3" s="138" t="s">
        <v>198</v>
      </c>
      <c r="R3" s="138" t="s">
        <v>177</v>
      </c>
      <c r="S3" s="138" t="s">
        <v>178</v>
      </c>
      <c r="T3" s="138" t="s">
        <v>199</v>
      </c>
      <c r="U3" s="138" t="s">
        <v>200</v>
      </c>
      <c r="W3" s="138" t="s">
        <v>198</v>
      </c>
      <c r="X3" s="138" t="s">
        <v>177</v>
      </c>
      <c r="Y3" s="138" t="s">
        <v>178</v>
      </c>
      <c r="Z3" s="138" t="s">
        <v>199</v>
      </c>
      <c r="AA3" s="138" t="s">
        <v>200</v>
      </c>
      <c r="AC3" s="138" t="s">
        <v>198</v>
      </c>
      <c r="AD3" s="138" t="s">
        <v>177</v>
      </c>
      <c r="AE3" s="138" t="s">
        <v>178</v>
      </c>
      <c r="AF3" s="138" t="s">
        <v>199</v>
      </c>
      <c r="AG3" s="138" t="s">
        <v>200</v>
      </c>
      <c r="AH3" s="105"/>
    </row>
    <row r="4" spans="2:34" ht="13.8">
      <c r="B4" s="93" t="s">
        <v>201</v>
      </c>
      <c r="C4" s="184" t="s">
        <v>209</v>
      </c>
      <c r="D4" s="184"/>
      <c r="E4" s="132">
        <v>1.95</v>
      </c>
      <c r="F4" s="132">
        <v>1.95</v>
      </c>
      <c r="G4" s="132">
        <v>1.95</v>
      </c>
      <c r="H4" s="132">
        <v>1.95</v>
      </c>
      <c r="I4" s="132">
        <v>1.95</v>
      </c>
      <c r="J4" s="107"/>
      <c r="K4" s="132">
        <v>1.95</v>
      </c>
      <c r="L4" s="132">
        <v>1.95</v>
      </c>
      <c r="M4" s="132">
        <v>1.95</v>
      </c>
      <c r="N4" s="132">
        <v>1.95</v>
      </c>
      <c r="O4" s="132">
        <v>1.95</v>
      </c>
      <c r="P4" s="107"/>
      <c r="Q4" s="132">
        <v>1.95</v>
      </c>
      <c r="R4" s="132">
        <v>1.95</v>
      </c>
      <c r="S4" s="132">
        <v>1.95</v>
      </c>
      <c r="T4" s="132">
        <v>1.95</v>
      </c>
      <c r="U4" s="132">
        <v>1.95</v>
      </c>
      <c r="W4" s="132">
        <v>1.95</v>
      </c>
      <c r="X4" s="132">
        <v>1.95</v>
      </c>
      <c r="Y4" s="132">
        <v>1.95</v>
      </c>
      <c r="Z4" s="132">
        <v>1.95</v>
      </c>
      <c r="AA4" s="132">
        <v>1.95</v>
      </c>
      <c r="AC4" s="132">
        <v>1.95</v>
      </c>
      <c r="AD4" s="132">
        <v>1.95</v>
      </c>
      <c r="AE4" s="132">
        <v>1.95</v>
      </c>
      <c r="AF4" s="132">
        <v>1.95</v>
      </c>
      <c r="AG4" s="132">
        <v>1.95</v>
      </c>
      <c r="AH4" s="108" t="s">
        <v>1</v>
      </c>
    </row>
    <row r="5" spans="2:34" ht="13.8">
      <c r="B5" s="93"/>
      <c r="C5" s="184" t="s">
        <v>208</v>
      </c>
      <c r="D5" s="184"/>
      <c r="E5" s="132">
        <v>1.7</v>
      </c>
      <c r="F5" s="132">
        <v>1.7</v>
      </c>
      <c r="G5" s="132">
        <v>1.7</v>
      </c>
      <c r="H5" s="132">
        <v>1.7</v>
      </c>
      <c r="I5" s="132">
        <v>1.7</v>
      </c>
      <c r="J5" s="107"/>
      <c r="K5" s="132">
        <v>1.7</v>
      </c>
      <c r="L5" s="132">
        <v>1.7</v>
      </c>
      <c r="M5" s="132">
        <v>1.7</v>
      </c>
      <c r="N5" s="132">
        <v>1.7</v>
      </c>
      <c r="O5" s="132">
        <v>1.7</v>
      </c>
      <c r="P5" s="107"/>
      <c r="Q5" s="132">
        <v>1.7</v>
      </c>
      <c r="R5" s="132">
        <v>1.7</v>
      </c>
      <c r="S5" s="132">
        <v>1.7</v>
      </c>
      <c r="T5" s="132">
        <v>1.7</v>
      </c>
      <c r="U5" s="132">
        <v>1.7</v>
      </c>
      <c r="W5" s="132">
        <v>1.7</v>
      </c>
      <c r="X5" s="132">
        <v>1.7</v>
      </c>
      <c r="Y5" s="132">
        <v>1.7</v>
      </c>
      <c r="Z5" s="132">
        <v>1.7</v>
      </c>
      <c r="AA5" s="132">
        <v>1.7</v>
      </c>
      <c r="AC5" s="132">
        <v>1.7</v>
      </c>
      <c r="AD5" s="132">
        <v>1.7</v>
      </c>
      <c r="AE5" s="132">
        <v>1.7</v>
      </c>
      <c r="AF5" s="132">
        <v>1.7</v>
      </c>
      <c r="AG5" s="132">
        <v>1.7</v>
      </c>
      <c r="AH5" s="108" t="s">
        <v>1</v>
      </c>
    </row>
    <row r="6" spans="2:34" ht="13.8">
      <c r="B6" s="93" t="s">
        <v>202</v>
      </c>
      <c r="C6" s="184" t="s">
        <v>207</v>
      </c>
      <c r="D6" s="184"/>
      <c r="E6" s="132">
        <v>1.3</v>
      </c>
      <c r="F6" s="132">
        <v>1.3</v>
      </c>
      <c r="G6" s="132">
        <v>1.3</v>
      </c>
      <c r="H6" s="132">
        <v>1.3</v>
      </c>
      <c r="I6" s="132">
        <v>1.3</v>
      </c>
      <c r="J6" s="107"/>
      <c r="K6" s="132">
        <v>1.3</v>
      </c>
      <c r="L6" s="132">
        <v>1.3</v>
      </c>
      <c r="M6" s="132">
        <v>1.3</v>
      </c>
      <c r="N6" s="132">
        <v>1.3</v>
      </c>
      <c r="O6" s="132">
        <v>1.3</v>
      </c>
      <c r="P6" s="107"/>
      <c r="Q6" s="132">
        <v>1.3</v>
      </c>
      <c r="R6" s="132">
        <v>1.3</v>
      </c>
      <c r="S6" s="132">
        <v>1.3</v>
      </c>
      <c r="T6" s="132">
        <v>1.3</v>
      </c>
      <c r="U6" s="132">
        <v>1.3</v>
      </c>
      <c r="W6" s="132">
        <v>1.3</v>
      </c>
      <c r="X6" s="132">
        <v>1.3</v>
      </c>
      <c r="Y6" s="132">
        <v>1.3</v>
      </c>
      <c r="Z6" s="132">
        <v>1.3</v>
      </c>
      <c r="AA6" s="132">
        <v>1.3</v>
      </c>
      <c r="AC6" s="132">
        <v>1.3</v>
      </c>
      <c r="AD6" s="132">
        <v>1.3</v>
      </c>
      <c r="AE6" s="132">
        <v>1.3</v>
      </c>
      <c r="AF6" s="132">
        <v>1.3</v>
      </c>
      <c r="AG6" s="132">
        <v>1.3</v>
      </c>
      <c r="AH6" s="108" t="s">
        <v>1</v>
      </c>
    </row>
    <row r="7" spans="2:34" ht="13.8">
      <c r="B7" s="93"/>
      <c r="C7" s="184" t="s">
        <v>206</v>
      </c>
      <c r="D7" s="184"/>
      <c r="E7" s="132">
        <v>1.1399999999999999</v>
      </c>
      <c r="F7" s="132">
        <v>1.1399999999999999</v>
      </c>
      <c r="G7" s="132">
        <v>1.1399999999999999</v>
      </c>
      <c r="H7" s="132">
        <v>1.1399999999999999</v>
      </c>
      <c r="I7" s="132">
        <v>1.1399999999999999</v>
      </c>
      <c r="J7" s="107"/>
      <c r="K7" s="132">
        <v>1.1399999999999999</v>
      </c>
      <c r="L7" s="132">
        <v>1.1399999999999999</v>
      </c>
      <c r="M7" s="132">
        <v>1.1399999999999999</v>
      </c>
      <c r="N7" s="132">
        <v>1.1399999999999999</v>
      </c>
      <c r="O7" s="132">
        <v>1.1399999999999999</v>
      </c>
      <c r="P7" s="107"/>
      <c r="Q7" s="132">
        <v>1.1399999999999999</v>
      </c>
      <c r="R7" s="132">
        <v>1.1399999999999999</v>
      </c>
      <c r="S7" s="132">
        <v>1.1399999999999999</v>
      </c>
      <c r="T7" s="132">
        <v>1.1399999999999999</v>
      </c>
      <c r="U7" s="132">
        <v>1.1399999999999999</v>
      </c>
      <c r="W7" s="132">
        <v>1.1399999999999999</v>
      </c>
      <c r="X7" s="132">
        <v>1.1399999999999999</v>
      </c>
      <c r="Y7" s="132">
        <v>1.1399999999999999</v>
      </c>
      <c r="Z7" s="132">
        <v>1.1399999999999999</v>
      </c>
      <c r="AA7" s="132">
        <v>1.1399999999999999</v>
      </c>
      <c r="AC7" s="132">
        <v>1.1399999999999999</v>
      </c>
      <c r="AD7" s="132">
        <v>1.1399999999999999</v>
      </c>
      <c r="AE7" s="132">
        <v>1.1399999999999999</v>
      </c>
      <c r="AF7" s="132">
        <v>1.1399999999999999</v>
      </c>
      <c r="AG7" s="132">
        <v>1.1399999999999999</v>
      </c>
      <c r="AH7" s="108" t="s">
        <v>1</v>
      </c>
    </row>
    <row r="8" spans="2:34" ht="13.8">
      <c r="B8" s="93" t="s">
        <v>203</v>
      </c>
      <c r="C8" s="184" t="s">
        <v>204</v>
      </c>
      <c r="D8" s="184"/>
      <c r="E8" s="132">
        <v>1.3</v>
      </c>
      <c r="F8" s="132">
        <v>1.3</v>
      </c>
      <c r="G8" s="132">
        <v>1.3</v>
      </c>
      <c r="H8" s="132">
        <v>1.3</v>
      </c>
      <c r="I8" s="132">
        <v>1.3</v>
      </c>
      <c r="J8" s="107"/>
      <c r="K8" s="132">
        <v>1.3</v>
      </c>
      <c r="L8" s="132">
        <v>1.3</v>
      </c>
      <c r="M8" s="132">
        <v>1.3</v>
      </c>
      <c r="N8" s="132">
        <v>1.3</v>
      </c>
      <c r="O8" s="132">
        <v>1.3</v>
      </c>
      <c r="P8" s="107"/>
      <c r="Q8" s="132">
        <v>1.3</v>
      </c>
      <c r="R8" s="132">
        <v>1.3</v>
      </c>
      <c r="S8" s="132">
        <v>1.3</v>
      </c>
      <c r="T8" s="132">
        <v>1.3</v>
      </c>
      <c r="U8" s="132">
        <v>1.3</v>
      </c>
      <c r="W8" s="132">
        <v>1.3</v>
      </c>
      <c r="X8" s="132">
        <v>1.3</v>
      </c>
      <c r="Y8" s="132">
        <v>1.3</v>
      </c>
      <c r="Z8" s="132">
        <v>1.3</v>
      </c>
      <c r="AA8" s="132">
        <v>1.3</v>
      </c>
      <c r="AC8" s="132">
        <v>1.3</v>
      </c>
      <c r="AD8" s="132">
        <v>1.3</v>
      </c>
      <c r="AE8" s="132">
        <v>1.3</v>
      </c>
      <c r="AF8" s="132">
        <v>1.3</v>
      </c>
      <c r="AG8" s="132">
        <v>1.3</v>
      </c>
      <c r="AH8" s="108" t="s">
        <v>1</v>
      </c>
    </row>
    <row r="9" spans="2:34" ht="13.8">
      <c r="B9" s="93"/>
      <c r="C9" s="184" t="s">
        <v>205</v>
      </c>
      <c r="D9" s="184"/>
      <c r="E9" s="132">
        <v>1.1399999999999999</v>
      </c>
      <c r="F9" s="132">
        <v>1.1399999999999999</v>
      </c>
      <c r="G9" s="132">
        <v>1.1399999999999999</v>
      </c>
      <c r="H9" s="132">
        <v>1.1399999999999999</v>
      </c>
      <c r="I9" s="132">
        <v>1.1399999999999999</v>
      </c>
      <c r="J9" s="107"/>
      <c r="K9" s="132">
        <v>1.1399999999999999</v>
      </c>
      <c r="L9" s="132">
        <v>1.1399999999999999</v>
      </c>
      <c r="M9" s="132">
        <v>1.1399999999999999</v>
      </c>
      <c r="N9" s="132">
        <v>1.1399999999999999</v>
      </c>
      <c r="O9" s="132">
        <v>1.1399999999999999</v>
      </c>
      <c r="P9" s="107"/>
      <c r="Q9" s="132">
        <v>1.1399999999999999</v>
      </c>
      <c r="R9" s="132">
        <v>1.1399999999999999</v>
      </c>
      <c r="S9" s="132">
        <v>1.1399999999999999</v>
      </c>
      <c r="T9" s="132">
        <v>1.1399999999999999</v>
      </c>
      <c r="U9" s="132">
        <v>1.1399999999999999</v>
      </c>
      <c r="W9" s="132">
        <v>1.1399999999999999</v>
      </c>
      <c r="X9" s="132">
        <v>1.1399999999999999</v>
      </c>
      <c r="Y9" s="132">
        <v>1.1399999999999999</v>
      </c>
      <c r="Z9" s="132">
        <v>1.1399999999999999</v>
      </c>
      <c r="AA9" s="132">
        <v>1.1399999999999999</v>
      </c>
      <c r="AC9" s="132">
        <v>1.1399999999999999</v>
      </c>
      <c r="AD9" s="132">
        <v>1.1399999999999999</v>
      </c>
      <c r="AE9" s="132">
        <v>1.1399999999999999</v>
      </c>
      <c r="AF9" s="132">
        <v>1.1399999999999999</v>
      </c>
      <c r="AG9" s="132">
        <v>1.1399999999999999</v>
      </c>
      <c r="AH9" s="108" t="s">
        <v>1</v>
      </c>
    </row>
    <row r="10" spans="2:34" ht="13.8">
      <c r="B10" s="192"/>
      <c r="C10" s="193"/>
      <c r="D10" s="194"/>
      <c r="E10" s="109"/>
      <c r="F10" s="109"/>
      <c r="G10" s="109"/>
      <c r="H10" s="110"/>
      <c r="I10" s="110"/>
      <c r="J10" s="107"/>
      <c r="K10" s="109"/>
      <c r="L10" s="109"/>
      <c r="M10" s="109"/>
      <c r="N10" s="110"/>
      <c r="O10" s="110"/>
      <c r="P10" s="107"/>
      <c r="Q10" s="109"/>
      <c r="R10" s="109"/>
      <c r="S10" s="109"/>
      <c r="T10" s="110"/>
      <c r="U10" s="110"/>
      <c r="W10" s="109"/>
      <c r="X10" s="167"/>
      <c r="Y10" s="167"/>
      <c r="Z10" s="110"/>
      <c r="AA10" s="110"/>
      <c r="AC10" s="109"/>
      <c r="AD10" s="109"/>
      <c r="AE10" s="109"/>
      <c r="AF10" s="110"/>
      <c r="AG10" s="110"/>
      <c r="AH10" s="111"/>
    </row>
    <row r="11" spans="2:34" ht="14.1" customHeight="1">
      <c r="B11" s="170" t="s">
        <v>211</v>
      </c>
      <c r="C11" s="182" t="s">
        <v>148</v>
      </c>
      <c r="D11" s="112" t="s">
        <v>144</v>
      </c>
      <c r="E11" s="133" t="s">
        <v>181</v>
      </c>
      <c r="F11" s="133" t="s">
        <v>181</v>
      </c>
      <c r="G11" s="133" t="s">
        <v>181</v>
      </c>
      <c r="H11" s="133" t="s">
        <v>181</v>
      </c>
      <c r="I11" s="133" t="s">
        <v>181</v>
      </c>
      <c r="J11" s="113"/>
      <c r="K11" s="133" t="s">
        <v>181</v>
      </c>
      <c r="L11" s="133" t="s">
        <v>181</v>
      </c>
      <c r="M11" s="133" t="s">
        <v>181</v>
      </c>
      <c r="N11" s="133" t="s">
        <v>181</v>
      </c>
      <c r="O11" s="133" t="s">
        <v>181</v>
      </c>
      <c r="P11" s="114"/>
      <c r="Q11" s="133">
        <v>6</v>
      </c>
      <c r="R11" s="133">
        <v>6</v>
      </c>
      <c r="S11" s="133"/>
      <c r="T11" s="133"/>
      <c r="U11" s="133"/>
      <c r="W11" s="133">
        <v>20</v>
      </c>
      <c r="X11" s="133">
        <v>20</v>
      </c>
      <c r="Y11" s="133">
        <v>20</v>
      </c>
      <c r="Z11" s="133">
        <v>20</v>
      </c>
      <c r="AA11" s="133">
        <v>20</v>
      </c>
      <c r="AC11" s="133">
        <v>15</v>
      </c>
      <c r="AD11" s="133">
        <v>15</v>
      </c>
      <c r="AE11" s="133">
        <v>15</v>
      </c>
      <c r="AF11" s="133">
        <v>15</v>
      </c>
      <c r="AG11" s="133">
        <v>15</v>
      </c>
      <c r="AH11" s="108" t="s">
        <v>2</v>
      </c>
    </row>
    <row r="12" spans="2:34" ht="14.1" customHeight="1">
      <c r="B12" s="170"/>
      <c r="C12" s="183"/>
      <c r="D12" s="112" t="s">
        <v>210</v>
      </c>
      <c r="E12" s="133" t="s">
        <v>181</v>
      </c>
      <c r="F12" s="133" t="s">
        <v>181</v>
      </c>
      <c r="G12" s="133" t="s">
        <v>181</v>
      </c>
      <c r="H12" s="133" t="s">
        <v>181</v>
      </c>
      <c r="I12" s="133" t="s">
        <v>181</v>
      </c>
      <c r="J12" s="113"/>
      <c r="K12" s="133" t="s">
        <v>181</v>
      </c>
      <c r="L12" s="133" t="s">
        <v>181</v>
      </c>
      <c r="M12" s="133" t="s">
        <v>181</v>
      </c>
      <c r="N12" s="133" t="s">
        <v>181</v>
      </c>
      <c r="O12" s="133" t="s">
        <v>181</v>
      </c>
      <c r="P12" s="114"/>
      <c r="Q12" s="133">
        <v>6</v>
      </c>
      <c r="R12" s="133">
        <v>6</v>
      </c>
      <c r="S12" s="133"/>
      <c r="T12" s="133"/>
      <c r="U12" s="133"/>
      <c r="W12" s="133">
        <v>20</v>
      </c>
      <c r="X12" s="133">
        <v>20</v>
      </c>
      <c r="Y12" s="133">
        <v>20</v>
      </c>
      <c r="Z12" s="133">
        <v>20</v>
      </c>
      <c r="AA12" s="133">
        <v>20</v>
      </c>
      <c r="AC12" s="133">
        <v>15</v>
      </c>
      <c r="AD12" s="133">
        <v>15</v>
      </c>
      <c r="AE12" s="133">
        <v>15</v>
      </c>
      <c r="AF12" s="133">
        <v>15</v>
      </c>
      <c r="AG12" s="133">
        <v>15</v>
      </c>
      <c r="AH12" s="108" t="s">
        <v>2</v>
      </c>
    </row>
    <row r="13" spans="2:34" ht="14.1" customHeight="1">
      <c r="B13" s="187" t="s">
        <v>212</v>
      </c>
      <c r="C13" s="172" t="s">
        <v>150</v>
      </c>
      <c r="D13" s="112" t="s">
        <v>144</v>
      </c>
      <c r="E13" s="133" t="s">
        <v>181</v>
      </c>
      <c r="F13" s="133" t="s">
        <v>181</v>
      </c>
      <c r="G13" s="133" t="s">
        <v>181</v>
      </c>
      <c r="H13" s="133" t="s">
        <v>181</v>
      </c>
      <c r="I13" s="133" t="s">
        <v>181</v>
      </c>
      <c r="J13" s="113"/>
      <c r="K13" s="133" t="s">
        <v>181</v>
      </c>
      <c r="L13" s="133" t="s">
        <v>181</v>
      </c>
      <c r="M13" s="133" t="s">
        <v>181</v>
      </c>
      <c r="N13" s="133" t="s">
        <v>181</v>
      </c>
      <c r="O13" s="133" t="s">
        <v>181</v>
      </c>
      <c r="P13" s="114"/>
      <c r="Q13" s="133">
        <v>0.2</v>
      </c>
      <c r="R13" s="133">
        <v>0.2</v>
      </c>
      <c r="S13" s="133"/>
      <c r="T13" s="133"/>
      <c r="U13" s="133"/>
      <c r="W13" s="133">
        <v>0.5</v>
      </c>
      <c r="X13" s="133">
        <v>0.5</v>
      </c>
      <c r="Y13" s="133">
        <v>0.5</v>
      </c>
      <c r="Z13" s="133">
        <v>0.5</v>
      </c>
      <c r="AA13" s="133">
        <v>0.5</v>
      </c>
      <c r="AC13" s="133">
        <v>0.6</v>
      </c>
      <c r="AD13" s="133">
        <v>0.6</v>
      </c>
      <c r="AE13" s="133">
        <v>0.6</v>
      </c>
      <c r="AF13" s="133">
        <v>0.6</v>
      </c>
      <c r="AG13" s="133">
        <v>0.6</v>
      </c>
      <c r="AH13" s="108" t="s">
        <v>2</v>
      </c>
    </row>
    <row r="14" spans="2:34" ht="14.1" customHeight="1">
      <c r="B14" s="188"/>
      <c r="C14" s="173"/>
      <c r="D14" s="112" t="s">
        <v>210</v>
      </c>
      <c r="E14" s="133" t="s">
        <v>181</v>
      </c>
      <c r="F14" s="133" t="s">
        <v>181</v>
      </c>
      <c r="G14" s="133" t="s">
        <v>181</v>
      </c>
      <c r="H14" s="133" t="s">
        <v>181</v>
      </c>
      <c r="I14" s="133" t="s">
        <v>181</v>
      </c>
      <c r="J14" s="113"/>
      <c r="K14" s="133" t="s">
        <v>181</v>
      </c>
      <c r="L14" s="133" t="s">
        <v>181</v>
      </c>
      <c r="M14" s="133" t="s">
        <v>181</v>
      </c>
      <c r="N14" s="133" t="s">
        <v>181</v>
      </c>
      <c r="O14" s="133" t="s">
        <v>181</v>
      </c>
      <c r="P14" s="114"/>
      <c r="Q14" s="133">
        <v>0.2</v>
      </c>
      <c r="R14" s="133">
        <v>0.2</v>
      </c>
      <c r="S14" s="133"/>
      <c r="T14" s="133"/>
      <c r="U14" s="133"/>
      <c r="W14" s="133">
        <v>0.5</v>
      </c>
      <c r="X14" s="133">
        <v>0.5</v>
      </c>
      <c r="Y14" s="133">
        <v>0.5</v>
      </c>
      <c r="Z14" s="133">
        <v>0.5</v>
      </c>
      <c r="AA14" s="133">
        <v>0.5</v>
      </c>
      <c r="AC14" s="133">
        <v>0.6</v>
      </c>
      <c r="AD14" s="133">
        <v>0.6</v>
      </c>
      <c r="AE14" s="133">
        <v>0.6</v>
      </c>
      <c r="AF14" s="133">
        <v>0.6</v>
      </c>
      <c r="AG14" s="133">
        <v>0.6</v>
      </c>
      <c r="AH14" s="108" t="s">
        <v>2</v>
      </c>
    </row>
    <row r="15" spans="2:34" ht="14.1" customHeight="1">
      <c r="B15" s="187" t="s">
        <v>235</v>
      </c>
      <c r="C15" s="172" t="s">
        <v>236</v>
      </c>
      <c r="D15" s="112" t="s">
        <v>144</v>
      </c>
      <c r="E15" s="133" t="s">
        <v>181</v>
      </c>
      <c r="F15" s="133" t="s">
        <v>181</v>
      </c>
      <c r="G15" s="133" t="s">
        <v>181</v>
      </c>
      <c r="H15" s="133" t="s">
        <v>181</v>
      </c>
      <c r="I15" s="133" t="s">
        <v>181</v>
      </c>
      <c r="J15" s="113"/>
      <c r="K15" s="133" t="s">
        <v>181</v>
      </c>
      <c r="L15" s="133" t="s">
        <v>181</v>
      </c>
      <c r="M15" s="133" t="s">
        <v>181</v>
      </c>
      <c r="N15" s="133" t="s">
        <v>181</v>
      </c>
      <c r="O15" s="133" t="s">
        <v>181</v>
      </c>
      <c r="P15" s="114"/>
      <c r="Q15" s="133">
        <v>0.2</v>
      </c>
      <c r="R15" s="133">
        <v>0.2</v>
      </c>
      <c r="S15" s="133"/>
      <c r="T15" s="133"/>
      <c r="U15" s="133"/>
      <c r="W15" s="133">
        <v>0.5</v>
      </c>
      <c r="X15" s="133">
        <v>0.5</v>
      </c>
      <c r="Y15" s="133">
        <v>0.5</v>
      </c>
      <c r="Z15" s="133">
        <v>0.5</v>
      </c>
      <c r="AA15" s="133">
        <v>0.5</v>
      </c>
      <c r="AC15" s="133">
        <v>0.6</v>
      </c>
      <c r="AD15" s="133">
        <v>0.6</v>
      </c>
      <c r="AE15" s="133">
        <v>0.6</v>
      </c>
      <c r="AF15" s="133">
        <v>0.6</v>
      </c>
      <c r="AG15" s="133">
        <v>0.6</v>
      </c>
      <c r="AH15" s="108" t="s">
        <v>2</v>
      </c>
    </row>
    <row r="16" spans="2:34" ht="14.1" customHeight="1">
      <c r="B16" s="188"/>
      <c r="C16" s="173"/>
      <c r="D16" s="112" t="s">
        <v>210</v>
      </c>
      <c r="E16" s="133" t="s">
        <v>181</v>
      </c>
      <c r="F16" s="133" t="s">
        <v>181</v>
      </c>
      <c r="G16" s="133" t="s">
        <v>181</v>
      </c>
      <c r="H16" s="133" t="s">
        <v>181</v>
      </c>
      <c r="I16" s="133" t="s">
        <v>181</v>
      </c>
      <c r="J16" s="113"/>
      <c r="K16" s="133" t="s">
        <v>181</v>
      </c>
      <c r="L16" s="133" t="s">
        <v>181</v>
      </c>
      <c r="M16" s="133" t="s">
        <v>181</v>
      </c>
      <c r="N16" s="133" t="s">
        <v>181</v>
      </c>
      <c r="O16" s="133" t="s">
        <v>181</v>
      </c>
      <c r="P16" s="114"/>
      <c r="Q16" s="133">
        <v>0.2</v>
      </c>
      <c r="R16" s="133">
        <v>0.2</v>
      </c>
      <c r="S16" s="133"/>
      <c r="T16" s="133"/>
      <c r="U16" s="133"/>
      <c r="W16" s="133">
        <v>0.5</v>
      </c>
      <c r="X16" s="133">
        <v>0.5</v>
      </c>
      <c r="Y16" s="133">
        <v>0.5</v>
      </c>
      <c r="Z16" s="133">
        <v>0.5</v>
      </c>
      <c r="AA16" s="133">
        <v>0.5</v>
      </c>
      <c r="AC16" s="133">
        <v>0.6</v>
      </c>
      <c r="AD16" s="133">
        <v>0.6</v>
      </c>
      <c r="AE16" s="133">
        <v>0.6</v>
      </c>
      <c r="AF16" s="133">
        <v>0.6</v>
      </c>
      <c r="AG16" s="133">
        <v>0.6</v>
      </c>
      <c r="AH16" s="108" t="s">
        <v>2</v>
      </c>
    </row>
    <row r="17" spans="2:34" ht="14.1" customHeight="1">
      <c r="B17" s="185" t="s">
        <v>213</v>
      </c>
      <c r="C17" s="182" t="s">
        <v>152</v>
      </c>
      <c r="D17" s="112" t="s">
        <v>144</v>
      </c>
      <c r="E17" s="133" t="s">
        <v>181</v>
      </c>
      <c r="F17" s="133" t="s">
        <v>181</v>
      </c>
      <c r="G17" s="133" t="s">
        <v>181</v>
      </c>
      <c r="H17" s="133" t="s">
        <v>181</v>
      </c>
      <c r="I17" s="133" t="s">
        <v>181</v>
      </c>
      <c r="J17" s="113"/>
      <c r="K17" s="133" t="s">
        <v>181</v>
      </c>
      <c r="L17" s="133" t="s">
        <v>181</v>
      </c>
      <c r="M17" s="133" t="s">
        <v>181</v>
      </c>
      <c r="N17" s="133" t="s">
        <v>181</v>
      </c>
      <c r="O17" s="133" t="s">
        <v>181</v>
      </c>
      <c r="P17" s="114"/>
      <c r="Q17" s="133">
        <v>3</v>
      </c>
      <c r="R17" s="133">
        <v>3</v>
      </c>
      <c r="S17" s="133"/>
      <c r="T17" s="133"/>
      <c r="U17" s="133"/>
      <c r="W17" s="133">
        <v>1.7</v>
      </c>
      <c r="X17" s="133">
        <v>1.7</v>
      </c>
      <c r="Y17" s="133">
        <v>1.7</v>
      </c>
      <c r="Z17" s="133">
        <v>1.7</v>
      </c>
      <c r="AA17" s="133">
        <v>1.7</v>
      </c>
      <c r="AC17" s="133">
        <v>2</v>
      </c>
      <c r="AD17" s="133">
        <v>2</v>
      </c>
      <c r="AE17" s="133">
        <v>2</v>
      </c>
      <c r="AF17" s="133">
        <v>2</v>
      </c>
      <c r="AG17" s="133">
        <v>2</v>
      </c>
      <c r="AH17" s="108" t="s">
        <v>2</v>
      </c>
    </row>
    <row r="18" spans="2:34" ht="14.1" customHeight="1">
      <c r="B18" s="186"/>
      <c r="C18" s="183"/>
      <c r="D18" s="112" t="s">
        <v>210</v>
      </c>
      <c r="E18" s="133" t="s">
        <v>181</v>
      </c>
      <c r="F18" s="133" t="s">
        <v>181</v>
      </c>
      <c r="G18" s="133" t="s">
        <v>181</v>
      </c>
      <c r="H18" s="133" t="s">
        <v>181</v>
      </c>
      <c r="I18" s="133" t="s">
        <v>181</v>
      </c>
      <c r="J18" s="113"/>
      <c r="K18" s="133" t="s">
        <v>181</v>
      </c>
      <c r="L18" s="133" t="s">
        <v>181</v>
      </c>
      <c r="M18" s="133" t="s">
        <v>181</v>
      </c>
      <c r="N18" s="133" t="s">
        <v>181</v>
      </c>
      <c r="O18" s="133" t="s">
        <v>181</v>
      </c>
      <c r="P18" s="114"/>
      <c r="Q18" s="133">
        <v>3</v>
      </c>
      <c r="R18" s="133">
        <v>3</v>
      </c>
      <c r="S18" s="133"/>
      <c r="T18" s="133"/>
      <c r="U18" s="133"/>
      <c r="W18" s="133">
        <v>1.7</v>
      </c>
      <c r="X18" s="133">
        <v>1.7</v>
      </c>
      <c r="Y18" s="133">
        <v>1.7</v>
      </c>
      <c r="Z18" s="133">
        <v>1.7</v>
      </c>
      <c r="AA18" s="133">
        <v>1.7</v>
      </c>
      <c r="AC18" s="133">
        <v>2</v>
      </c>
      <c r="AD18" s="133">
        <v>2</v>
      </c>
      <c r="AE18" s="133">
        <v>2</v>
      </c>
      <c r="AF18" s="133">
        <v>2</v>
      </c>
      <c r="AG18" s="133">
        <v>2</v>
      </c>
      <c r="AH18" s="108" t="s">
        <v>2</v>
      </c>
    </row>
    <row r="19" spans="2:34" ht="14.1" customHeight="1">
      <c r="B19" s="170" t="s">
        <v>232</v>
      </c>
      <c r="C19" s="184" t="s">
        <v>182</v>
      </c>
      <c r="D19" s="112" t="s">
        <v>144</v>
      </c>
      <c r="E19" s="133" t="s">
        <v>181</v>
      </c>
      <c r="F19" s="133" t="s">
        <v>181</v>
      </c>
      <c r="G19" s="133" t="s">
        <v>181</v>
      </c>
      <c r="H19" s="133" t="s">
        <v>181</v>
      </c>
      <c r="I19" s="133" t="s">
        <v>181</v>
      </c>
      <c r="J19" s="113"/>
      <c r="K19" s="133" t="s">
        <v>181</v>
      </c>
      <c r="L19" s="133" t="s">
        <v>181</v>
      </c>
      <c r="M19" s="133" t="s">
        <v>181</v>
      </c>
      <c r="N19" s="133" t="s">
        <v>181</v>
      </c>
      <c r="O19" s="133" t="s">
        <v>181</v>
      </c>
      <c r="P19" s="114"/>
      <c r="Q19" s="133">
        <v>0.8</v>
      </c>
      <c r="R19" s="133">
        <v>0.8</v>
      </c>
      <c r="S19" s="133"/>
      <c r="T19" s="133"/>
      <c r="U19" s="133"/>
      <c r="W19" s="133">
        <v>1.2</v>
      </c>
      <c r="X19" s="133">
        <v>1.2</v>
      </c>
      <c r="Y19" s="133">
        <v>1.2</v>
      </c>
      <c r="Z19" s="133">
        <v>1.2</v>
      </c>
      <c r="AA19" s="133">
        <v>1.2</v>
      </c>
      <c r="AC19" s="133">
        <v>1.2</v>
      </c>
      <c r="AD19" s="133">
        <v>1.2</v>
      </c>
      <c r="AE19" s="133">
        <v>1.2</v>
      </c>
      <c r="AF19" s="133">
        <v>1.2</v>
      </c>
      <c r="AG19" s="133">
        <v>1.2</v>
      </c>
      <c r="AH19" s="108" t="s">
        <v>2</v>
      </c>
    </row>
    <row r="20" spans="2:34" ht="14.1" customHeight="1">
      <c r="B20" s="170"/>
      <c r="C20" s="184"/>
      <c r="D20" s="112" t="s">
        <v>210</v>
      </c>
      <c r="E20" s="133" t="s">
        <v>181</v>
      </c>
      <c r="F20" s="133" t="s">
        <v>181</v>
      </c>
      <c r="G20" s="133" t="s">
        <v>181</v>
      </c>
      <c r="H20" s="133" t="s">
        <v>181</v>
      </c>
      <c r="I20" s="133" t="s">
        <v>181</v>
      </c>
      <c r="J20" s="113"/>
      <c r="K20" s="133" t="s">
        <v>181</v>
      </c>
      <c r="L20" s="133" t="s">
        <v>181</v>
      </c>
      <c r="M20" s="133" t="s">
        <v>181</v>
      </c>
      <c r="N20" s="133" t="s">
        <v>181</v>
      </c>
      <c r="O20" s="133" t="s">
        <v>181</v>
      </c>
      <c r="P20" s="114"/>
      <c r="Q20" s="133">
        <v>0.8</v>
      </c>
      <c r="R20" s="133">
        <v>0.8</v>
      </c>
      <c r="S20" s="133"/>
      <c r="T20" s="133"/>
      <c r="U20" s="133"/>
      <c r="W20" s="133">
        <v>1.2</v>
      </c>
      <c r="X20" s="133">
        <v>1.2</v>
      </c>
      <c r="Y20" s="133">
        <v>1.2</v>
      </c>
      <c r="Z20" s="133">
        <v>1.2</v>
      </c>
      <c r="AA20" s="133">
        <v>1.2</v>
      </c>
      <c r="AC20" s="133">
        <v>1.2</v>
      </c>
      <c r="AD20" s="133">
        <v>1.2</v>
      </c>
      <c r="AE20" s="133">
        <v>1.2</v>
      </c>
      <c r="AF20" s="133">
        <v>1.2</v>
      </c>
      <c r="AG20" s="133">
        <v>1.2</v>
      </c>
      <c r="AH20" s="108" t="s">
        <v>2</v>
      </c>
    </row>
    <row r="21" spans="2:34" ht="14.1" customHeight="1">
      <c r="B21" s="170" t="s">
        <v>244</v>
      </c>
      <c r="C21" s="184" t="s">
        <v>242</v>
      </c>
      <c r="D21" s="112" t="s">
        <v>144</v>
      </c>
      <c r="E21" s="133" t="s">
        <v>181</v>
      </c>
      <c r="F21" s="133" t="s">
        <v>181</v>
      </c>
      <c r="G21" s="133" t="s">
        <v>181</v>
      </c>
      <c r="H21" s="133" t="s">
        <v>181</v>
      </c>
      <c r="I21" s="133" t="s">
        <v>181</v>
      </c>
      <c r="J21" s="113"/>
      <c r="K21" s="133" t="s">
        <v>181</v>
      </c>
      <c r="L21" s="133" t="s">
        <v>181</v>
      </c>
      <c r="M21" s="133" t="s">
        <v>181</v>
      </c>
      <c r="N21" s="133" t="s">
        <v>181</v>
      </c>
      <c r="O21" s="133" t="s">
        <v>181</v>
      </c>
      <c r="P21" s="114"/>
      <c r="Q21" s="133">
        <v>0.8</v>
      </c>
      <c r="R21" s="133">
        <v>0.8</v>
      </c>
      <c r="S21" s="133"/>
      <c r="T21" s="133"/>
      <c r="U21" s="133"/>
      <c r="W21" s="133">
        <v>1.2</v>
      </c>
      <c r="X21" s="133">
        <v>1.2</v>
      </c>
      <c r="Y21" s="133">
        <v>1.2</v>
      </c>
      <c r="Z21" s="133">
        <v>1.2</v>
      </c>
      <c r="AA21" s="133">
        <v>1.2</v>
      </c>
      <c r="AC21" s="133">
        <v>1.2</v>
      </c>
      <c r="AD21" s="133">
        <v>1.2</v>
      </c>
      <c r="AE21" s="133">
        <v>1.2</v>
      </c>
      <c r="AF21" s="133">
        <v>1.2</v>
      </c>
      <c r="AG21" s="133">
        <v>1.2</v>
      </c>
      <c r="AH21" s="108" t="s">
        <v>2</v>
      </c>
    </row>
    <row r="22" spans="2:34" ht="14.1" customHeight="1">
      <c r="B22" s="170"/>
      <c r="C22" s="184"/>
      <c r="D22" s="112" t="s">
        <v>210</v>
      </c>
      <c r="E22" s="133" t="s">
        <v>181</v>
      </c>
      <c r="F22" s="133" t="s">
        <v>181</v>
      </c>
      <c r="G22" s="133" t="s">
        <v>181</v>
      </c>
      <c r="H22" s="133" t="s">
        <v>181</v>
      </c>
      <c r="I22" s="133" t="s">
        <v>181</v>
      </c>
      <c r="J22" s="113"/>
      <c r="K22" s="133" t="s">
        <v>181</v>
      </c>
      <c r="L22" s="133" t="s">
        <v>181</v>
      </c>
      <c r="M22" s="133" t="s">
        <v>181</v>
      </c>
      <c r="N22" s="133" t="s">
        <v>181</v>
      </c>
      <c r="O22" s="133" t="s">
        <v>181</v>
      </c>
      <c r="P22" s="114"/>
      <c r="Q22" s="133">
        <v>0.8</v>
      </c>
      <c r="R22" s="133">
        <v>0.8</v>
      </c>
      <c r="S22" s="133"/>
      <c r="T22" s="133"/>
      <c r="U22" s="133"/>
      <c r="W22" s="133">
        <v>1.2</v>
      </c>
      <c r="X22" s="133">
        <v>1.2</v>
      </c>
      <c r="Y22" s="133">
        <v>1.2</v>
      </c>
      <c r="Z22" s="133">
        <v>1.2</v>
      </c>
      <c r="AA22" s="133">
        <v>1.2</v>
      </c>
      <c r="AC22" s="133">
        <v>1.2</v>
      </c>
      <c r="AD22" s="133">
        <v>1.2</v>
      </c>
      <c r="AE22" s="133">
        <v>1.2</v>
      </c>
      <c r="AF22" s="133">
        <v>1.2</v>
      </c>
      <c r="AG22" s="133">
        <v>1.2</v>
      </c>
      <c r="AH22" s="108" t="s">
        <v>2</v>
      </c>
    </row>
    <row r="23" spans="2:34" ht="14.1" customHeight="1">
      <c r="B23" s="170" t="s">
        <v>214</v>
      </c>
      <c r="C23" s="171" t="s">
        <v>156</v>
      </c>
      <c r="D23" s="112" t="s">
        <v>144</v>
      </c>
      <c r="E23" s="133" t="s">
        <v>181</v>
      </c>
      <c r="F23" s="133" t="s">
        <v>181</v>
      </c>
      <c r="G23" s="133" t="s">
        <v>181</v>
      </c>
      <c r="H23" s="133" t="s">
        <v>181</v>
      </c>
      <c r="I23" s="133" t="s">
        <v>181</v>
      </c>
      <c r="J23" s="113"/>
      <c r="K23" s="133" t="s">
        <v>181</v>
      </c>
      <c r="L23" s="133" t="s">
        <v>181</v>
      </c>
      <c r="M23" s="133" t="s">
        <v>181</v>
      </c>
      <c r="N23" s="133" t="s">
        <v>181</v>
      </c>
      <c r="O23" s="133" t="s">
        <v>181</v>
      </c>
      <c r="P23" s="114"/>
      <c r="Q23" s="133">
        <v>3</v>
      </c>
      <c r="R23" s="133">
        <v>3</v>
      </c>
      <c r="S23" s="133"/>
      <c r="T23" s="133"/>
      <c r="U23" s="133"/>
      <c r="W23" s="133">
        <v>1.2</v>
      </c>
      <c r="X23" s="133">
        <v>1.2</v>
      </c>
      <c r="Y23" s="133">
        <v>1.2</v>
      </c>
      <c r="Z23" s="133">
        <v>1.2</v>
      </c>
      <c r="AA23" s="133">
        <v>1.2</v>
      </c>
      <c r="AC23" s="133">
        <v>2.5</v>
      </c>
      <c r="AD23" s="133">
        <v>2.5</v>
      </c>
      <c r="AE23" s="133">
        <v>2.5</v>
      </c>
      <c r="AF23" s="133">
        <v>2.5</v>
      </c>
      <c r="AG23" s="133">
        <v>2.5</v>
      </c>
      <c r="AH23" s="108" t="s">
        <v>2</v>
      </c>
    </row>
    <row r="24" spans="2:34" ht="14.1" customHeight="1">
      <c r="B24" s="170"/>
      <c r="C24" s="171"/>
      <c r="D24" s="112" t="s">
        <v>210</v>
      </c>
      <c r="E24" s="133" t="s">
        <v>181</v>
      </c>
      <c r="F24" s="133" t="s">
        <v>181</v>
      </c>
      <c r="G24" s="133" t="s">
        <v>181</v>
      </c>
      <c r="H24" s="133" t="s">
        <v>181</v>
      </c>
      <c r="I24" s="133" t="s">
        <v>181</v>
      </c>
      <c r="J24" s="113"/>
      <c r="K24" s="133" t="s">
        <v>181</v>
      </c>
      <c r="L24" s="133" t="s">
        <v>181</v>
      </c>
      <c r="M24" s="133" t="s">
        <v>181</v>
      </c>
      <c r="N24" s="133" t="s">
        <v>181</v>
      </c>
      <c r="O24" s="133" t="s">
        <v>181</v>
      </c>
      <c r="P24" s="114"/>
      <c r="Q24" s="133">
        <v>3</v>
      </c>
      <c r="R24" s="133">
        <v>3</v>
      </c>
      <c r="S24" s="133"/>
      <c r="T24" s="133"/>
      <c r="U24" s="133"/>
      <c r="W24" s="133">
        <v>1.2</v>
      </c>
      <c r="X24" s="133">
        <v>1.2</v>
      </c>
      <c r="Y24" s="133">
        <v>1.2</v>
      </c>
      <c r="Z24" s="133">
        <v>1.2</v>
      </c>
      <c r="AA24" s="133">
        <v>1.2</v>
      </c>
      <c r="AC24" s="133">
        <v>2.5</v>
      </c>
      <c r="AD24" s="133">
        <v>2.5</v>
      </c>
      <c r="AE24" s="133">
        <v>2.5</v>
      </c>
      <c r="AF24" s="133">
        <v>2.5</v>
      </c>
      <c r="AG24" s="133">
        <v>2.5</v>
      </c>
      <c r="AH24" s="108" t="s">
        <v>2</v>
      </c>
    </row>
    <row r="25" spans="2:34" ht="14.1" customHeight="1">
      <c r="B25" s="170" t="s">
        <v>215</v>
      </c>
      <c r="C25" s="184" t="s">
        <v>158</v>
      </c>
      <c r="D25" s="112" t="s">
        <v>144</v>
      </c>
      <c r="E25" s="133" t="s">
        <v>181</v>
      </c>
      <c r="F25" s="133" t="s">
        <v>181</v>
      </c>
      <c r="G25" s="133" t="s">
        <v>181</v>
      </c>
      <c r="H25" s="133" t="s">
        <v>181</v>
      </c>
      <c r="I25" s="133" t="s">
        <v>181</v>
      </c>
      <c r="J25" s="113"/>
      <c r="K25" s="133" t="s">
        <v>181</v>
      </c>
      <c r="L25" s="133" t="s">
        <v>181</v>
      </c>
      <c r="M25" s="133" t="s">
        <v>181</v>
      </c>
      <c r="N25" s="133" t="s">
        <v>181</v>
      </c>
      <c r="O25" s="133" t="s">
        <v>181</v>
      </c>
      <c r="P25" s="114"/>
      <c r="Q25" s="133">
        <v>5</v>
      </c>
      <c r="R25" s="133">
        <v>5</v>
      </c>
      <c r="S25" s="133"/>
      <c r="T25" s="133"/>
      <c r="U25" s="133"/>
      <c r="W25" s="133">
        <v>5</v>
      </c>
      <c r="X25" s="133">
        <v>5</v>
      </c>
      <c r="Y25" s="133">
        <v>5</v>
      </c>
      <c r="Z25" s="133">
        <v>5</v>
      </c>
      <c r="AA25" s="133">
        <v>5</v>
      </c>
      <c r="AC25" s="133">
        <v>3</v>
      </c>
      <c r="AD25" s="133">
        <v>3</v>
      </c>
      <c r="AE25" s="133">
        <v>3</v>
      </c>
      <c r="AF25" s="133">
        <v>3</v>
      </c>
      <c r="AG25" s="133">
        <v>3</v>
      </c>
      <c r="AH25" s="108" t="s">
        <v>2</v>
      </c>
    </row>
    <row r="26" spans="2:34" ht="14.1" customHeight="1">
      <c r="B26" s="170"/>
      <c r="C26" s="184"/>
      <c r="D26" s="112" t="s">
        <v>210</v>
      </c>
      <c r="E26" s="133" t="s">
        <v>181</v>
      </c>
      <c r="F26" s="133" t="s">
        <v>181</v>
      </c>
      <c r="G26" s="133" t="s">
        <v>181</v>
      </c>
      <c r="H26" s="133" t="s">
        <v>181</v>
      </c>
      <c r="I26" s="133" t="s">
        <v>181</v>
      </c>
      <c r="J26" s="113"/>
      <c r="K26" s="133" t="s">
        <v>181</v>
      </c>
      <c r="L26" s="133" t="s">
        <v>181</v>
      </c>
      <c r="M26" s="133" t="s">
        <v>181</v>
      </c>
      <c r="N26" s="133" t="s">
        <v>181</v>
      </c>
      <c r="O26" s="133" t="s">
        <v>181</v>
      </c>
      <c r="P26" s="114"/>
      <c r="Q26" s="133">
        <v>5</v>
      </c>
      <c r="R26" s="133">
        <v>5</v>
      </c>
      <c r="S26" s="133"/>
      <c r="T26" s="133"/>
      <c r="U26" s="133"/>
      <c r="W26" s="133">
        <v>5</v>
      </c>
      <c r="X26" s="133">
        <v>5</v>
      </c>
      <c r="Y26" s="133">
        <v>5</v>
      </c>
      <c r="Z26" s="133">
        <v>5</v>
      </c>
      <c r="AA26" s="133">
        <v>5</v>
      </c>
      <c r="AC26" s="133">
        <v>3</v>
      </c>
      <c r="AD26" s="133">
        <v>3</v>
      </c>
      <c r="AE26" s="133">
        <v>3</v>
      </c>
      <c r="AF26" s="133">
        <v>3</v>
      </c>
      <c r="AG26" s="133">
        <v>3</v>
      </c>
      <c r="AH26" s="108" t="s">
        <v>2</v>
      </c>
    </row>
    <row r="27" spans="2:34" ht="14.1" customHeight="1">
      <c r="B27" s="170" t="s">
        <v>216</v>
      </c>
      <c r="C27" s="184" t="s">
        <v>160</v>
      </c>
      <c r="D27" s="112" t="s">
        <v>144</v>
      </c>
      <c r="E27" s="133" t="s">
        <v>181</v>
      </c>
      <c r="F27" s="133" t="s">
        <v>181</v>
      </c>
      <c r="G27" s="133" t="s">
        <v>181</v>
      </c>
      <c r="H27" s="133" t="s">
        <v>181</v>
      </c>
      <c r="I27" s="133" t="s">
        <v>181</v>
      </c>
      <c r="J27" s="113"/>
      <c r="K27" s="133" t="s">
        <v>181</v>
      </c>
      <c r="L27" s="133" t="s">
        <v>181</v>
      </c>
      <c r="M27" s="133" t="s">
        <v>181</v>
      </c>
      <c r="N27" s="133" t="s">
        <v>181</v>
      </c>
      <c r="O27" s="133" t="s">
        <v>181</v>
      </c>
      <c r="P27" s="114"/>
      <c r="Q27" s="133">
        <v>5</v>
      </c>
      <c r="R27" s="133">
        <v>5</v>
      </c>
      <c r="S27" s="133"/>
      <c r="T27" s="133"/>
      <c r="U27" s="133"/>
      <c r="W27" s="133">
        <v>10</v>
      </c>
      <c r="X27" s="133">
        <v>10</v>
      </c>
      <c r="Y27" s="133">
        <v>10</v>
      </c>
      <c r="Z27" s="133">
        <v>10</v>
      </c>
      <c r="AA27" s="133">
        <v>10</v>
      </c>
      <c r="AC27" s="133">
        <v>10</v>
      </c>
      <c r="AD27" s="133">
        <v>10</v>
      </c>
      <c r="AE27" s="133">
        <v>10</v>
      </c>
      <c r="AF27" s="133">
        <v>10</v>
      </c>
      <c r="AG27" s="133">
        <v>10</v>
      </c>
      <c r="AH27" s="108" t="s">
        <v>2</v>
      </c>
    </row>
    <row r="28" spans="2:34" ht="14.1" customHeight="1">
      <c r="B28" s="170"/>
      <c r="C28" s="184"/>
      <c r="D28" s="112" t="s">
        <v>210</v>
      </c>
      <c r="E28" s="133" t="s">
        <v>181</v>
      </c>
      <c r="F28" s="133" t="s">
        <v>181</v>
      </c>
      <c r="G28" s="133" t="s">
        <v>181</v>
      </c>
      <c r="H28" s="133" t="s">
        <v>181</v>
      </c>
      <c r="I28" s="133" t="s">
        <v>181</v>
      </c>
      <c r="J28" s="113"/>
      <c r="K28" s="133" t="s">
        <v>181</v>
      </c>
      <c r="L28" s="133" t="s">
        <v>181</v>
      </c>
      <c r="M28" s="133" t="s">
        <v>181</v>
      </c>
      <c r="N28" s="133" t="s">
        <v>181</v>
      </c>
      <c r="O28" s="133" t="s">
        <v>181</v>
      </c>
      <c r="P28" s="114"/>
      <c r="Q28" s="133">
        <v>5</v>
      </c>
      <c r="R28" s="133">
        <v>5</v>
      </c>
      <c r="S28" s="133"/>
      <c r="T28" s="133"/>
      <c r="U28" s="133"/>
      <c r="W28" s="133">
        <v>10</v>
      </c>
      <c r="X28" s="133">
        <v>10</v>
      </c>
      <c r="Y28" s="133">
        <v>10</v>
      </c>
      <c r="Z28" s="133">
        <v>10</v>
      </c>
      <c r="AA28" s="133">
        <v>10</v>
      </c>
      <c r="AC28" s="133">
        <v>10</v>
      </c>
      <c r="AD28" s="133">
        <v>10</v>
      </c>
      <c r="AE28" s="133">
        <v>10</v>
      </c>
      <c r="AF28" s="133">
        <v>10</v>
      </c>
      <c r="AG28" s="133">
        <v>10</v>
      </c>
      <c r="AH28" s="108" t="s">
        <v>2</v>
      </c>
    </row>
    <row r="29" spans="2:34" ht="14.1" customHeight="1">
      <c r="B29" s="170" t="s">
        <v>311</v>
      </c>
      <c r="C29" s="171" t="s">
        <v>161</v>
      </c>
      <c r="D29" s="112" t="s">
        <v>144</v>
      </c>
      <c r="E29" s="133" t="s">
        <v>181</v>
      </c>
      <c r="F29" s="133" t="s">
        <v>181</v>
      </c>
      <c r="G29" s="133" t="s">
        <v>181</v>
      </c>
      <c r="H29" s="133" t="s">
        <v>181</v>
      </c>
      <c r="I29" s="133" t="s">
        <v>181</v>
      </c>
      <c r="J29" s="113"/>
      <c r="K29" s="133" t="s">
        <v>181</v>
      </c>
      <c r="L29" s="133" t="s">
        <v>181</v>
      </c>
      <c r="M29" s="133" t="s">
        <v>181</v>
      </c>
      <c r="N29" s="133" t="s">
        <v>181</v>
      </c>
      <c r="O29" s="133" t="s">
        <v>181</v>
      </c>
      <c r="P29" s="114"/>
      <c r="Q29" s="133">
        <v>12</v>
      </c>
      <c r="R29" s="133">
        <v>12</v>
      </c>
      <c r="S29" s="133"/>
      <c r="T29" s="133"/>
      <c r="U29" s="133"/>
      <c r="W29" s="133">
        <v>15</v>
      </c>
      <c r="X29" s="133">
        <v>15</v>
      </c>
      <c r="Y29" s="133">
        <v>15</v>
      </c>
      <c r="Z29" s="133">
        <v>15</v>
      </c>
      <c r="AA29" s="133">
        <v>15</v>
      </c>
      <c r="AC29" s="133">
        <v>40</v>
      </c>
      <c r="AD29" s="133">
        <v>40</v>
      </c>
      <c r="AE29" s="133">
        <v>40</v>
      </c>
      <c r="AF29" s="133">
        <v>40</v>
      </c>
      <c r="AG29" s="133">
        <v>40</v>
      </c>
      <c r="AH29" s="108" t="s">
        <v>2</v>
      </c>
    </row>
    <row r="30" spans="2:34" ht="14.1" customHeight="1">
      <c r="B30" s="170"/>
      <c r="C30" s="171"/>
      <c r="D30" s="112" t="s">
        <v>210</v>
      </c>
      <c r="E30" s="133" t="s">
        <v>181</v>
      </c>
      <c r="F30" s="133" t="s">
        <v>181</v>
      </c>
      <c r="G30" s="133" t="s">
        <v>181</v>
      </c>
      <c r="H30" s="133" t="s">
        <v>181</v>
      </c>
      <c r="I30" s="133" t="s">
        <v>181</v>
      </c>
      <c r="J30" s="113"/>
      <c r="K30" s="133" t="s">
        <v>181</v>
      </c>
      <c r="L30" s="133" t="s">
        <v>181</v>
      </c>
      <c r="M30" s="133" t="s">
        <v>181</v>
      </c>
      <c r="N30" s="133" t="s">
        <v>181</v>
      </c>
      <c r="O30" s="133" t="s">
        <v>181</v>
      </c>
      <c r="P30" s="114"/>
      <c r="Q30" s="133">
        <v>12</v>
      </c>
      <c r="R30" s="133">
        <v>12</v>
      </c>
      <c r="S30" s="133"/>
      <c r="T30" s="133"/>
      <c r="U30" s="133"/>
      <c r="W30" s="133">
        <v>15</v>
      </c>
      <c r="X30" s="133">
        <v>15</v>
      </c>
      <c r="Y30" s="133">
        <v>15</v>
      </c>
      <c r="Z30" s="133">
        <v>15</v>
      </c>
      <c r="AA30" s="133">
        <v>15</v>
      </c>
      <c r="AC30" s="133">
        <v>40</v>
      </c>
      <c r="AD30" s="133">
        <v>40</v>
      </c>
      <c r="AE30" s="133">
        <v>40</v>
      </c>
      <c r="AF30" s="133">
        <v>40</v>
      </c>
      <c r="AG30" s="133">
        <v>40</v>
      </c>
      <c r="AH30" s="108" t="s">
        <v>2</v>
      </c>
    </row>
    <row r="31" spans="2:34" ht="14.1" customHeight="1">
      <c r="B31" s="170" t="s">
        <v>246</v>
      </c>
      <c r="C31" s="171" t="s">
        <v>245</v>
      </c>
      <c r="D31" s="112" t="s">
        <v>144</v>
      </c>
      <c r="E31" s="133" t="s">
        <v>181</v>
      </c>
      <c r="F31" s="133" t="s">
        <v>181</v>
      </c>
      <c r="G31" s="133" t="s">
        <v>181</v>
      </c>
      <c r="H31" s="133" t="s">
        <v>181</v>
      </c>
      <c r="I31" s="133" t="s">
        <v>181</v>
      </c>
      <c r="J31" s="113"/>
      <c r="K31" s="133" t="s">
        <v>181</v>
      </c>
      <c r="L31" s="133" t="s">
        <v>181</v>
      </c>
      <c r="M31" s="133" t="s">
        <v>181</v>
      </c>
      <c r="N31" s="133" t="s">
        <v>181</v>
      </c>
      <c r="O31" s="133" t="s">
        <v>181</v>
      </c>
      <c r="P31" s="114"/>
      <c r="Q31" s="133">
        <v>0.22500000000000001</v>
      </c>
      <c r="R31" s="133">
        <v>0.22500000000000001</v>
      </c>
      <c r="S31" s="133"/>
      <c r="T31" s="133"/>
      <c r="U31" s="133"/>
      <c r="W31" s="133">
        <v>1.2</v>
      </c>
      <c r="X31" s="133">
        <v>1.2</v>
      </c>
      <c r="Y31" s="133">
        <v>1.2</v>
      </c>
      <c r="Z31" s="133">
        <v>1.2</v>
      </c>
      <c r="AA31" s="133">
        <v>1.2</v>
      </c>
      <c r="AC31" s="133">
        <v>1</v>
      </c>
      <c r="AD31" s="133">
        <v>1</v>
      </c>
      <c r="AE31" s="133">
        <v>1</v>
      </c>
      <c r="AF31" s="133">
        <v>1</v>
      </c>
      <c r="AG31" s="133">
        <v>1</v>
      </c>
      <c r="AH31" s="108" t="s">
        <v>2</v>
      </c>
    </row>
    <row r="32" spans="2:34" ht="14.1" customHeight="1">
      <c r="B32" s="170"/>
      <c r="C32" s="171"/>
      <c r="D32" s="112" t="s">
        <v>210</v>
      </c>
      <c r="E32" s="133" t="s">
        <v>181</v>
      </c>
      <c r="F32" s="133" t="s">
        <v>181</v>
      </c>
      <c r="G32" s="133" t="s">
        <v>181</v>
      </c>
      <c r="H32" s="133" t="s">
        <v>181</v>
      </c>
      <c r="I32" s="133" t="s">
        <v>181</v>
      </c>
      <c r="J32" s="113"/>
      <c r="K32" s="133" t="s">
        <v>181</v>
      </c>
      <c r="L32" s="133" t="s">
        <v>181</v>
      </c>
      <c r="M32" s="133" t="s">
        <v>181</v>
      </c>
      <c r="N32" s="133" t="s">
        <v>181</v>
      </c>
      <c r="O32" s="133" t="s">
        <v>181</v>
      </c>
      <c r="P32" s="114"/>
      <c r="Q32" s="133">
        <v>0.22500000000000001</v>
      </c>
      <c r="R32" s="133">
        <v>0.22500000000000001</v>
      </c>
      <c r="S32" s="133"/>
      <c r="T32" s="133"/>
      <c r="U32" s="133"/>
      <c r="W32" s="133">
        <v>1.2</v>
      </c>
      <c r="X32" s="133">
        <v>1.2</v>
      </c>
      <c r="Y32" s="133">
        <v>1.2</v>
      </c>
      <c r="Z32" s="133">
        <v>1.2</v>
      </c>
      <c r="AA32" s="133">
        <v>1.2</v>
      </c>
      <c r="AC32" s="133">
        <v>1</v>
      </c>
      <c r="AD32" s="133">
        <v>1</v>
      </c>
      <c r="AE32" s="133">
        <v>1</v>
      </c>
      <c r="AF32" s="133">
        <v>1</v>
      </c>
      <c r="AG32" s="133">
        <v>1</v>
      </c>
      <c r="AH32" s="108" t="s">
        <v>2</v>
      </c>
    </row>
    <row r="33" spans="2:34" ht="14.1" customHeight="1">
      <c r="B33" s="170" t="s">
        <v>247</v>
      </c>
      <c r="C33" s="171" t="s">
        <v>248</v>
      </c>
      <c r="D33" s="112" t="s">
        <v>144</v>
      </c>
      <c r="E33" s="133" t="s">
        <v>181</v>
      </c>
      <c r="F33" s="133" t="s">
        <v>181</v>
      </c>
      <c r="G33" s="133" t="s">
        <v>181</v>
      </c>
      <c r="H33" s="133" t="s">
        <v>181</v>
      </c>
      <c r="I33" s="133" t="s">
        <v>181</v>
      </c>
      <c r="J33" s="113"/>
      <c r="K33" s="133" t="s">
        <v>181</v>
      </c>
      <c r="L33" s="133" t="s">
        <v>181</v>
      </c>
      <c r="M33" s="133" t="s">
        <v>181</v>
      </c>
      <c r="N33" s="133" t="s">
        <v>181</v>
      </c>
      <c r="O33" s="133" t="s">
        <v>181</v>
      </c>
      <c r="P33" s="114"/>
      <c r="Q33" s="133">
        <v>7.0000000000000001E-3</v>
      </c>
      <c r="R33" s="133">
        <v>7.0000000000000001E-3</v>
      </c>
      <c r="S33" s="133"/>
      <c r="T33" s="133"/>
      <c r="U33" s="133"/>
      <c r="W33" s="133">
        <v>8.0000000000000002E-3</v>
      </c>
      <c r="X33" s="133">
        <v>7.4999999999999997E-3</v>
      </c>
      <c r="Y33" s="133">
        <v>8.0000000000000002E-3</v>
      </c>
      <c r="Z33" s="133">
        <v>8.0000000000000002E-3</v>
      </c>
      <c r="AA33" s="133">
        <v>8.0000000000000002E-3</v>
      </c>
      <c r="AC33" s="133">
        <v>2.5000000000000001E-2</v>
      </c>
      <c r="AD33" s="133">
        <v>2.5000000000000001E-2</v>
      </c>
      <c r="AE33" s="133">
        <v>2.5000000000000001E-2</v>
      </c>
      <c r="AF33" s="133">
        <v>2.5000000000000001E-2</v>
      </c>
      <c r="AG33" s="133">
        <v>2.5000000000000001E-2</v>
      </c>
      <c r="AH33" s="108" t="s">
        <v>2</v>
      </c>
    </row>
    <row r="34" spans="2:34" ht="14.1" customHeight="1">
      <c r="B34" s="170"/>
      <c r="C34" s="171"/>
      <c r="D34" s="112" t="s">
        <v>210</v>
      </c>
      <c r="E34" s="133" t="s">
        <v>181</v>
      </c>
      <c r="F34" s="133" t="s">
        <v>181</v>
      </c>
      <c r="G34" s="133" t="s">
        <v>181</v>
      </c>
      <c r="H34" s="133" t="s">
        <v>181</v>
      </c>
      <c r="I34" s="133" t="s">
        <v>181</v>
      </c>
      <c r="J34" s="113"/>
      <c r="K34" s="133" t="s">
        <v>181</v>
      </c>
      <c r="L34" s="133" t="s">
        <v>181</v>
      </c>
      <c r="M34" s="133" t="s">
        <v>181</v>
      </c>
      <c r="N34" s="133" t="s">
        <v>181</v>
      </c>
      <c r="O34" s="133" t="s">
        <v>181</v>
      </c>
      <c r="P34" s="114"/>
      <c r="Q34" s="133">
        <v>7.0000000000000001E-3</v>
      </c>
      <c r="R34" s="133">
        <v>7.0000000000000001E-3</v>
      </c>
      <c r="S34" s="133"/>
      <c r="T34" s="133"/>
      <c r="U34" s="133"/>
      <c r="W34" s="133">
        <v>8.0000000000000002E-3</v>
      </c>
      <c r="X34" s="133">
        <v>8.0000000000000002E-3</v>
      </c>
      <c r="Y34" s="133">
        <v>8.0000000000000002E-3</v>
      </c>
      <c r="Z34" s="133">
        <v>8.0000000000000002E-3</v>
      </c>
      <c r="AA34" s="133">
        <v>8.0000000000000002E-3</v>
      </c>
      <c r="AC34" s="133">
        <v>2.5000000000000001E-2</v>
      </c>
      <c r="AD34" s="133">
        <v>2.5000000000000001E-2</v>
      </c>
      <c r="AE34" s="133">
        <v>2.5000000000000001E-2</v>
      </c>
      <c r="AF34" s="133">
        <v>2.5000000000000001E-2</v>
      </c>
      <c r="AG34" s="133">
        <v>2.5000000000000001E-2</v>
      </c>
      <c r="AH34" s="108" t="s">
        <v>2</v>
      </c>
    </row>
    <row r="35" spans="2:34" ht="13.8">
      <c r="B35" s="176"/>
      <c r="C35" s="177"/>
      <c r="D35" s="178"/>
      <c r="E35" s="115"/>
      <c r="F35" s="115"/>
      <c r="G35" s="115"/>
      <c r="H35" s="116"/>
      <c r="I35" s="117"/>
      <c r="J35" s="113"/>
      <c r="K35" s="115"/>
      <c r="L35" s="115"/>
      <c r="M35" s="115"/>
      <c r="N35" s="116"/>
      <c r="O35" s="117"/>
      <c r="P35" s="114"/>
      <c r="Q35" s="115"/>
      <c r="R35" s="115"/>
      <c r="S35" s="115"/>
      <c r="T35" s="116"/>
      <c r="U35" s="117"/>
      <c r="W35" s="115"/>
      <c r="X35" s="167"/>
      <c r="Y35" s="167"/>
      <c r="Z35" s="116"/>
      <c r="AA35" s="117"/>
      <c r="AC35" s="115"/>
      <c r="AD35" s="115"/>
      <c r="AE35" s="115"/>
      <c r="AF35" s="116"/>
      <c r="AG35" s="117"/>
      <c r="AH35" s="111"/>
    </row>
    <row r="36" spans="2:34" ht="14.1" customHeight="1">
      <c r="B36" s="170" t="s">
        <v>219</v>
      </c>
      <c r="C36" s="182" t="s">
        <v>148</v>
      </c>
      <c r="D36" s="112" t="s">
        <v>144</v>
      </c>
      <c r="E36" s="133" t="s">
        <v>181</v>
      </c>
      <c r="F36" s="133" t="s">
        <v>181</v>
      </c>
      <c r="G36" s="133" t="s">
        <v>181</v>
      </c>
      <c r="H36" s="133" t="s">
        <v>181</v>
      </c>
      <c r="I36" s="133" t="s">
        <v>181</v>
      </c>
      <c r="J36" s="113"/>
      <c r="K36" s="133" t="s">
        <v>181</v>
      </c>
      <c r="L36" s="133" t="s">
        <v>181</v>
      </c>
      <c r="M36" s="133" t="s">
        <v>181</v>
      </c>
      <c r="N36" s="133" t="s">
        <v>181</v>
      </c>
      <c r="O36" s="133" t="s">
        <v>181</v>
      </c>
      <c r="P36" s="114"/>
      <c r="Q36" s="133">
        <v>64</v>
      </c>
      <c r="R36" s="133">
        <v>60</v>
      </c>
      <c r="S36" s="133"/>
      <c r="T36" s="133"/>
      <c r="U36" s="133"/>
      <c r="W36" s="133">
        <v>65</v>
      </c>
      <c r="X36" s="133">
        <v>50</v>
      </c>
      <c r="Y36" s="133">
        <v>47</v>
      </c>
      <c r="Z36" s="133">
        <v>45</v>
      </c>
      <c r="AA36" s="133">
        <v>42</v>
      </c>
      <c r="AC36" s="133">
        <v>70</v>
      </c>
      <c r="AD36" s="133">
        <v>70</v>
      </c>
      <c r="AE36" s="133">
        <v>70</v>
      </c>
      <c r="AF36" s="133">
        <v>70</v>
      </c>
      <c r="AG36" s="133">
        <v>70</v>
      </c>
      <c r="AH36" s="108" t="s">
        <v>2</v>
      </c>
    </row>
    <row r="37" spans="2:34" ht="14.1" customHeight="1">
      <c r="B37" s="170"/>
      <c r="C37" s="183"/>
      <c r="D37" s="112" t="s">
        <v>210</v>
      </c>
      <c r="E37" s="133" t="s">
        <v>181</v>
      </c>
      <c r="F37" s="133" t="s">
        <v>181</v>
      </c>
      <c r="G37" s="133" t="s">
        <v>181</v>
      </c>
      <c r="H37" s="133" t="s">
        <v>181</v>
      </c>
      <c r="I37" s="133" t="s">
        <v>181</v>
      </c>
      <c r="J37" s="113"/>
      <c r="K37" s="133" t="s">
        <v>181</v>
      </c>
      <c r="L37" s="133" t="s">
        <v>181</v>
      </c>
      <c r="M37" s="133" t="s">
        <v>181</v>
      </c>
      <c r="N37" s="133" t="s">
        <v>181</v>
      </c>
      <c r="O37" s="133" t="s">
        <v>181</v>
      </c>
      <c r="P37" s="114"/>
      <c r="Q37" s="133">
        <v>64</v>
      </c>
      <c r="R37" s="133">
        <v>60</v>
      </c>
      <c r="S37" s="133"/>
      <c r="T37" s="133"/>
      <c r="U37" s="133"/>
      <c r="W37" s="133">
        <v>65</v>
      </c>
      <c r="X37" s="133">
        <v>50</v>
      </c>
      <c r="Y37" s="133">
        <v>47</v>
      </c>
      <c r="Z37" s="133">
        <v>45</v>
      </c>
      <c r="AA37" s="133">
        <v>42</v>
      </c>
      <c r="AC37" s="133">
        <v>70</v>
      </c>
      <c r="AD37" s="133">
        <v>70</v>
      </c>
      <c r="AE37" s="133">
        <v>70</v>
      </c>
      <c r="AF37" s="133">
        <v>70</v>
      </c>
      <c r="AG37" s="133">
        <v>70</v>
      </c>
      <c r="AH37" s="108" t="s">
        <v>2</v>
      </c>
    </row>
    <row r="38" spans="2:34" ht="14.1" customHeight="1">
      <c r="B38" s="187" t="s">
        <v>220</v>
      </c>
      <c r="C38" s="172" t="s">
        <v>150</v>
      </c>
      <c r="D38" s="112" t="s">
        <v>144</v>
      </c>
      <c r="E38" s="133" t="s">
        <v>181</v>
      </c>
      <c r="F38" s="133" t="s">
        <v>181</v>
      </c>
      <c r="G38" s="133" t="s">
        <v>181</v>
      </c>
      <c r="H38" s="133" t="s">
        <v>181</v>
      </c>
      <c r="I38" s="133" t="s">
        <v>181</v>
      </c>
      <c r="J38" s="113"/>
      <c r="K38" s="133" t="s">
        <v>181</v>
      </c>
      <c r="L38" s="133" t="s">
        <v>181</v>
      </c>
      <c r="M38" s="133" t="s">
        <v>181</v>
      </c>
      <c r="N38" s="133" t="s">
        <v>181</v>
      </c>
      <c r="O38" s="133" t="s">
        <v>181</v>
      </c>
      <c r="P38" s="114"/>
      <c r="Q38" s="133">
        <v>0.6</v>
      </c>
      <c r="R38" s="133">
        <v>0.6</v>
      </c>
      <c r="S38" s="133"/>
      <c r="T38" s="133"/>
      <c r="U38" s="133"/>
      <c r="W38" s="133">
        <v>1.6</v>
      </c>
      <c r="X38" s="133">
        <v>1.6</v>
      </c>
      <c r="Y38" s="133">
        <v>1.6</v>
      </c>
      <c r="Z38" s="133">
        <v>1.6</v>
      </c>
      <c r="AA38" s="133">
        <v>1.6</v>
      </c>
      <c r="AC38" s="133">
        <v>0.8</v>
      </c>
      <c r="AD38" s="133">
        <v>0.8</v>
      </c>
      <c r="AE38" s="133">
        <v>0.8</v>
      </c>
      <c r="AF38" s="133">
        <v>0.8</v>
      </c>
      <c r="AG38" s="133">
        <v>0.8</v>
      </c>
      <c r="AH38" s="108" t="s">
        <v>2</v>
      </c>
    </row>
    <row r="39" spans="2:34" ht="14.1" customHeight="1">
      <c r="B39" s="188"/>
      <c r="C39" s="173"/>
      <c r="D39" s="112" t="s">
        <v>210</v>
      </c>
      <c r="E39" s="133" t="s">
        <v>181</v>
      </c>
      <c r="F39" s="133" t="s">
        <v>181</v>
      </c>
      <c r="G39" s="133" t="s">
        <v>181</v>
      </c>
      <c r="H39" s="133" t="s">
        <v>181</v>
      </c>
      <c r="I39" s="133" t="s">
        <v>181</v>
      </c>
      <c r="J39" s="113"/>
      <c r="K39" s="133" t="s">
        <v>181</v>
      </c>
      <c r="L39" s="133" t="s">
        <v>181</v>
      </c>
      <c r="M39" s="133" t="s">
        <v>181</v>
      </c>
      <c r="N39" s="133" t="s">
        <v>181</v>
      </c>
      <c r="O39" s="133" t="s">
        <v>181</v>
      </c>
      <c r="P39" s="114"/>
      <c r="Q39" s="133">
        <v>0.6</v>
      </c>
      <c r="R39" s="133">
        <v>0.6</v>
      </c>
      <c r="S39" s="133"/>
      <c r="T39" s="133"/>
      <c r="U39" s="133"/>
      <c r="W39" s="133">
        <v>1.6</v>
      </c>
      <c r="X39" s="133">
        <v>1.6</v>
      </c>
      <c r="Y39" s="133">
        <v>1.6</v>
      </c>
      <c r="Z39" s="133">
        <v>1.6</v>
      </c>
      <c r="AA39" s="133">
        <v>1.6</v>
      </c>
      <c r="AC39" s="133">
        <v>0.8</v>
      </c>
      <c r="AD39" s="133">
        <v>0.8</v>
      </c>
      <c r="AE39" s="133">
        <v>0.8</v>
      </c>
      <c r="AF39" s="133">
        <v>0.8</v>
      </c>
      <c r="AG39" s="133">
        <v>0.8</v>
      </c>
      <c r="AH39" s="108" t="s">
        <v>2</v>
      </c>
    </row>
    <row r="40" spans="2:34" ht="14.1" customHeight="1">
      <c r="B40" s="187" t="s">
        <v>237</v>
      </c>
      <c r="C40" s="172" t="s">
        <v>236</v>
      </c>
      <c r="D40" s="112" t="s">
        <v>144</v>
      </c>
      <c r="E40" s="133" t="s">
        <v>181</v>
      </c>
      <c r="F40" s="133" t="s">
        <v>181</v>
      </c>
      <c r="G40" s="133" t="s">
        <v>181</v>
      </c>
      <c r="H40" s="133" t="s">
        <v>181</v>
      </c>
      <c r="I40" s="133" t="s">
        <v>181</v>
      </c>
      <c r="J40" s="113"/>
      <c r="K40" s="133" t="s">
        <v>181</v>
      </c>
      <c r="L40" s="133" t="s">
        <v>181</v>
      </c>
      <c r="M40" s="133" t="s">
        <v>181</v>
      </c>
      <c r="N40" s="133" t="s">
        <v>181</v>
      </c>
      <c r="O40" s="133" t="s">
        <v>181</v>
      </c>
      <c r="P40" s="114"/>
      <c r="Q40" s="133">
        <v>0.6</v>
      </c>
      <c r="R40" s="133">
        <v>0.6</v>
      </c>
      <c r="S40" s="133"/>
      <c r="T40" s="133"/>
      <c r="U40" s="133"/>
      <c r="W40" s="133">
        <v>1.6</v>
      </c>
      <c r="X40" s="133">
        <v>1.6</v>
      </c>
      <c r="Y40" s="133">
        <v>1.6</v>
      </c>
      <c r="Z40" s="133">
        <v>1.6</v>
      </c>
      <c r="AA40" s="133">
        <v>1.6</v>
      </c>
      <c r="AC40" s="133">
        <v>0.8</v>
      </c>
      <c r="AD40" s="133">
        <v>0.8</v>
      </c>
      <c r="AE40" s="133">
        <v>0.8</v>
      </c>
      <c r="AF40" s="133">
        <v>0.8</v>
      </c>
      <c r="AG40" s="133">
        <v>0.8</v>
      </c>
      <c r="AH40" s="108" t="s">
        <v>2</v>
      </c>
    </row>
    <row r="41" spans="2:34" ht="14.1" customHeight="1">
      <c r="B41" s="188"/>
      <c r="C41" s="173"/>
      <c r="D41" s="112" t="s">
        <v>210</v>
      </c>
      <c r="E41" s="133" t="s">
        <v>181</v>
      </c>
      <c r="F41" s="133" t="s">
        <v>181</v>
      </c>
      <c r="G41" s="133" t="s">
        <v>181</v>
      </c>
      <c r="H41" s="133" t="s">
        <v>181</v>
      </c>
      <c r="I41" s="133" t="s">
        <v>181</v>
      </c>
      <c r="J41" s="113"/>
      <c r="K41" s="133" t="s">
        <v>181</v>
      </c>
      <c r="L41" s="133" t="s">
        <v>181</v>
      </c>
      <c r="M41" s="133" t="s">
        <v>181</v>
      </c>
      <c r="N41" s="133" t="s">
        <v>181</v>
      </c>
      <c r="O41" s="133" t="s">
        <v>181</v>
      </c>
      <c r="P41" s="114"/>
      <c r="Q41" s="133">
        <v>0.6</v>
      </c>
      <c r="R41" s="133">
        <v>0.6</v>
      </c>
      <c r="S41" s="133"/>
      <c r="T41" s="133"/>
      <c r="U41" s="133"/>
      <c r="W41" s="133">
        <v>1.6</v>
      </c>
      <c r="X41" s="133">
        <v>1.6</v>
      </c>
      <c r="Y41" s="133">
        <v>1.6</v>
      </c>
      <c r="Z41" s="133">
        <v>1.6</v>
      </c>
      <c r="AA41" s="133">
        <v>1.6</v>
      </c>
      <c r="AC41" s="133">
        <v>0.8</v>
      </c>
      <c r="AD41" s="133">
        <v>0.8</v>
      </c>
      <c r="AE41" s="133">
        <v>0.8</v>
      </c>
      <c r="AF41" s="133">
        <v>0.8</v>
      </c>
      <c r="AG41" s="133">
        <v>0.8</v>
      </c>
      <c r="AH41" s="108" t="s">
        <v>2</v>
      </c>
    </row>
    <row r="42" spans="2:34" ht="14.1" customHeight="1">
      <c r="B42" s="185" t="s">
        <v>221</v>
      </c>
      <c r="C42" s="182" t="s">
        <v>152</v>
      </c>
      <c r="D42" s="112" t="s">
        <v>144</v>
      </c>
      <c r="E42" s="133" t="s">
        <v>181</v>
      </c>
      <c r="F42" s="133" t="s">
        <v>181</v>
      </c>
      <c r="G42" s="133" t="s">
        <v>181</v>
      </c>
      <c r="H42" s="133" t="s">
        <v>181</v>
      </c>
      <c r="I42" s="133" t="s">
        <v>181</v>
      </c>
      <c r="J42" s="113"/>
      <c r="K42" s="133" t="s">
        <v>181</v>
      </c>
      <c r="L42" s="133" t="s">
        <v>181</v>
      </c>
      <c r="M42" s="133" t="s">
        <v>181</v>
      </c>
      <c r="N42" s="133" t="s">
        <v>181</v>
      </c>
      <c r="O42" s="133" t="s">
        <v>181</v>
      </c>
      <c r="P42" s="114"/>
      <c r="Q42" s="133">
        <v>22</v>
      </c>
      <c r="R42" s="133">
        <v>19</v>
      </c>
      <c r="S42" s="133"/>
      <c r="T42" s="133"/>
      <c r="U42" s="133"/>
      <c r="W42" s="133">
        <v>16</v>
      </c>
      <c r="X42" s="133">
        <v>15</v>
      </c>
      <c r="Y42" s="133">
        <v>15</v>
      </c>
      <c r="Z42" s="133">
        <v>12</v>
      </c>
      <c r="AA42" s="133">
        <v>10</v>
      </c>
      <c r="AC42" s="133">
        <v>30</v>
      </c>
      <c r="AD42" s="133">
        <v>30</v>
      </c>
      <c r="AE42" s="133">
        <v>30</v>
      </c>
      <c r="AF42" s="133">
        <v>30</v>
      </c>
      <c r="AG42" s="133">
        <v>30</v>
      </c>
      <c r="AH42" s="108" t="s">
        <v>2</v>
      </c>
    </row>
    <row r="43" spans="2:34" ht="14.1" customHeight="1">
      <c r="B43" s="186"/>
      <c r="C43" s="183"/>
      <c r="D43" s="112" t="s">
        <v>210</v>
      </c>
      <c r="E43" s="133" t="s">
        <v>181</v>
      </c>
      <c r="F43" s="133" t="s">
        <v>181</v>
      </c>
      <c r="G43" s="133" t="s">
        <v>181</v>
      </c>
      <c r="H43" s="133" t="s">
        <v>181</v>
      </c>
      <c r="I43" s="133" t="s">
        <v>181</v>
      </c>
      <c r="J43" s="113"/>
      <c r="K43" s="133" t="s">
        <v>181</v>
      </c>
      <c r="L43" s="133" t="s">
        <v>181</v>
      </c>
      <c r="M43" s="133" t="s">
        <v>181</v>
      </c>
      <c r="N43" s="133" t="s">
        <v>181</v>
      </c>
      <c r="O43" s="133" t="s">
        <v>181</v>
      </c>
      <c r="P43" s="114"/>
      <c r="Q43" s="133">
        <v>22</v>
      </c>
      <c r="R43" s="133">
        <v>19</v>
      </c>
      <c r="S43" s="133"/>
      <c r="T43" s="133"/>
      <c r="U43" s="133"/>
      <c r="W43" s="133">
        <v>16</v>
      </c>
      <c r="X43" s="133">
        <v>15</v>
      </c>
      <c r="Y43" s="133">
        <v>15</v>
      </c>
      <c r="Z43" s="133">
        <v>12</v>
      </c>
      <c r="AA43" s="133">
        <v>10</v>
      </c>
      <c r="AC43" s="133">
        <v>30</v>
      </c>
      <c r="AD43" s="133">
        <v>30</v>
      </c>
      <c r="AE43" s="133">
        <v>30</v>
      </c>
      <c r="AF43" s="133">
        <v>30</v>
      </c>
      <c r="AG43" s="133">
        <v>30</v>
      </c>
      <c r="AH43" s="108" t="s">
        <v>2</v>
      </c>
    </row>
    <row r="44" spans="2:34" ht="14.1" customHeight="1">
      <c r="B44" s="170" t="s">
        <v>222</v>
      </c>
      <c r="C44" s="184" t="s">
        <v>182</v>
      </c>
      <c r="D44" s="112" t="s">
        <v>144</v>
      </c>
      <c r="E44" s="133" t="s">
        <v>181</v>
      </c>
      <c r="F44" s="133" t="s">
        <v>181</v>
      </c>
      <c r="G44" s="133" t="s">
        <v>181</v>
      </c>
      <c r="H44" s="133" t="s">
        <v>181</v>
      </c>
      <c r="I44" s="133" t="s">
        <v>181</v>
      </c>
      <c r="J44" s="113"/>
      <c r="K44" s="133" t="s">
        <v>181</v>
      </c>
      <c r="L44" s="133" t="s">
        <v>181</v>
      </c>
      <c r="M44" s="133" t="s">
        <v>181</v>
      </c>
      <c r="N44" s="133" t="s">
        <v>181</v>
      </c>
      <c r="O44" s="133" t="s">
        <v>181</v>
      </c>
      <c r="P44" s="114"/>
      <c r="Q44" s="133">
        <v>3</v>
      </c>
      <c r="R44" s="133">
        <v>3</v>
      </c>
      <c r="S44" s="133"/>
      <c r="T44" s="133"/>
      <c r="U44" s="133"/>
      <c r="W44" s="133">
        <v>4</v>
      </c>
      <c r="X44" s="133">
        <v>4</v>
      </c>
      <c r="Y44" s="133">
        <v>4</v>
      </c>
      <c r="Z44" s="133">
        <v>4</v>
      </c>
      <c r="AA44" s="133">
        <v>4</v>
      </c>
      <c r="AC44" s="133">
        <v>8</v>
      </c>
      <c r="AD44" s="133">
        <v>8</v>
      </c>
      <c r="AE44" s="133">
        <v>8</v>
      </c>
      <c r="AF44" s="133">
        <v>8</v>
      </c>
      <c r="AG44" s="133">
        <v>8</v>
      </c>
      <c r="AH44" s="108" t="s">
        <v>2</v>
      </c>
    </row>
    <row r="45" spans="2:34" ht="14.1" customHeight="1">
      <c r="B45" s="170"/>
      <c r="C45" s="184"/>
      <c r="D45" s="112" t="s">
        <v>210</v>
      </c>
      <c r="E45" s="133" t="s">
        <v>181</v>
      </c>
      <c r="F45" s="133" t="s">
        <v>181</v>
      </c>
      <c r="G45" s="133" t="s">
        <v>181</v>
      </c>
      <c r="H45" s="133" t="s">
        <v>181</v>
      </c>
      <c r="I45" s="133" t="s">
        <v>181</v>
      </c>
      <c r="J45" s="113"/>
      <c r="K45" s="133" t="s">
        <v>181</v>
      </c>
      <c r="L45" s="133" t="s">
        <v>181</v>
      </c>
      <c r="M45" s="133" t="s">
        <v>181</v>
      </c>
      <c r="N45" s="133" t="s">
        <v>181</v>
      </c>
      <c r="O45" s="133" t="s">
        <v>181</v>
      </c>
      <c r="P45" s="114"/>
      <c r="Q45" s="133">
        <v>3</v>
      </c>
      <c r="R45" s="133">
        <v>3</v>
      </c>
      <c r="S45" s="133"/>
      <c r="T45" s="133"/>
      <c r="U45" s="133"/>
      <c r="W45" s="133">
        <v>4</v>
      </c>
      <c r="X45" s="133">
        <v>4</v>
      </c>
      <c r="Y45" s="133">
        <v>4</v>
      </c>
      <c r="Z45" s="133">
        <v>4</v>
      </c>
      <c r="AA45" s="133">
        <v>4</v>
      </c>
      <c r="AC45" s="133">
        <v>8</v>
      </c>
      <c r="AD45" s="133">
        <v>8</v>
      </c>
      <c r="AE45" s="133">
        <v>8</v>
      </c>
      <c r="AF45" s="133">
        <v>8</v>
      </c>
      <c r="AG45" s="133">
        <v>8</v>
      </c>
      <c r="AH45" s="108" t="s">
        <v>2</v>
      </c>
    </row>
    <row r="46" spans="2:34" ht="14.1" customHeight="1">
      <c r="B46" s="170" t="s">
        <v>241</v>
      </c>
      <c r="C46" s="184" t="s">
        <v>242</v>
      </c>
      <c r="D46" s="112" t="s">
        <v>144</v>
      </c>
      <c r="E46" s="133" t="s">
        <v>181</v>
      </c>
      <c r="F46" s="133" t="s">
        <v>181</v>
      </c>
      <c r="G46" s="133" t="s">
        <v>181</v>
      </c>
      <c r="H46" s="133" t="s">
        <v>181</v>
      </c>
      <c r="I46" s="133" t="s">
        <v>181</v>
      </c>
      <c r="J46" s="113"/>
      <c r="K46" s="133" t="s">
        <v>181</v>
      </c>
      <c r="L46" s="133" t="s">
        <v>181</v>
      </c>
      <c r="M46" s="133" t="s">
        <v>181</v>
      </c>
      <c r="N46" s="133" t="s">
        <v>181</v>
      </c>
      <c r="O46" s="133" t="s">
        <v>181</v>
      </c>
      <c r="P46" s="114"/>
      <c r="Q46" s="133">
        <v>3</v>
      </c>
      <c r="R46" s="133">
        <v>3</v>
      </c>
      <c r="S46" s="133"/>
      <c r="T46" s="133"/>
      <c r="U46" s="133"/>
      <c r="W46" s="133">
        <v>4</v>
      </c>
      <c r="X46" s="133">
        <v>4</v>
      </c>
      <c r="Y46" s="133">
        <v>4</v>
      </c>
      <c r="Z46" s="133">
        <v>4</v>
      </c>
      <c r="AA46" s="133">
        <v>4</v>
      </c>
      <c r="AC46" s="133">
        <v>8</v>
      </c>
      <c r="AD46" s="133">
        <v>8</v>
      </c>
      <c r="AE46" s="133">
        <v>8</v>
      </c>
      <c r="AF46" s="133">
        <v>8</v>
      </c>
      <c r="AG46" s="133">
        <v>8</v>
      </c>
      <c r="AH46" s="108" t="s">
        <v>2</v>
      </c>
    </row>
    <row r="47" spans="2:34" ht="14.1" customHeight="1">
      <c r="B47" s="170"/>
      <c r="C47" s="184"/>
      <c r="D47" s="112" t="s">
        <v>210</v>
      </c>
      <c r="E47" s="133" t="s">
        <v>181</v>
      </c>
      <c r="F47" s="133" t="s">
        <v>181</v>
      </c>
      <c r="G47" s="133" t="s">
        <v>181</v>
      </c>
      <c r="H47" s="133" t="s">
        <v>181</v>
      </c>
      <c r="I47" s="133" t="s">
        <v>181</v>
      </c>
      <c r="J47" s="113"/>
      <c r="K47" s="133" t="s">
        <v>181</v>
      </c>
      <c r="L47" s="133" t="s">
        <v>181</v>
      </c>
      <c r="M47" s="133" t="s">
        <v>181</v>
      </c>
      <c r="N47" s="133" t="s">
        <v>181</v>
      </c>
      <c r="O47" s="133" t="s">
        <v>181</v>
      </c>
      <c r="P47" s="114"/>
      <c r="Q47" s="133">
        <v>3</v>
      </c>
      <c r="R47" s="133">
        <v>3</v>
      </c>
      <c r="S47" s="133"/>
      <c r="T47" s="133"/>
      <c r="U47" s="133"/>
      <c r="W47" s="133">
        <v>4</v>
      </c>
      <c r="X47" s="133">
        <v>4</v>
      </c>
      <c r="Y47" s="133">
        <v>4</v>
      </c>
      <c r="Z47" s="133">
        <v>4</v>
      </c>
      <c r="AA47" s="133">
        <v>4</v>
      </c>
      <c r="AC47" s="133">
        <v>8</v>
      </c>
      <c r="AD47" s="133">
        <v>8</v>
      </c>
      <c r="AE47" s="133">
        <v>8</v>
      </c>
      <c r="AF47" s="133">
        <v>8</v>
      </c>
      <c r="AG47" s="133">
        <v>8</v>
      </c>
      <c r="AH47" s="108" t="s">
        <v>2</v>
      </c>
    </row>
    <row r="48" spans="2:34" ht="14.1" customHeight="1">
      <c r="B48" s="170" t="s">
        <v>223</v>
      </c>
      <c r="C48" s="171" t="s">
        <v>156</v>
      </c>
      <c r="D48" s="112" t="s">
        <v>144</v>
      </c>
      <c r="E48" s="133" t="s">
        <v>181</v>
      </c>
      <c r="F48" s="133" t="s">
        <v>181</v>
      </c>
      <c r="G48" s="133" t="s">
        <v>181</v>
      </c>
      <c r="H48" s="133" t="s">
        <v>181</v>
      </c>
      <c r="I48" s="133" t="s">
        <v>181</v>
      </c>
      <c r="J48" s="113"/>
      <c r="K48" s="133" t="s">
        <v>181</v>
      </c>
      <c r="L48" s="133" t="s">
        <v>181</v>
      </c>
      <c r="M48" s="133" t="s">
        <v>181</v>
      </c>
      <c r="N48" s="133" t="s">
        <v>181</v>
      </c>
      <c r="O48" s="133" t="s">
        <v>181</v>
      </c>
      <c r="P48" s="114"/>
      <c r="Q48" s="133">
        <v>26</v>
      </c>
      <c r="R48" s="133">
        <v>24</v>
      </c>
      <c r="S48" s="133"/>
      <c r="T48" s="133"/>
      <c r="U48" s="133"/>
      <c r="W48" s="133">
        <v>24</v>
      </c>
      <c r="X48" s="133">
        <v>23</v>
      </c>
      <c r="Y48" s="133">
        <v>23</v>
      </c>
      <c r="Z48" s="133">
        <v>22</v>
      </c>
      <c r="AA48" s="133">
        <v>21</v>
      </c>
      <c r="AC48" s="133">
        <v>30</v>
      </c>
      <c r="AD48" s="133">
        <v>30</v>
      </c>
      <c r="AE48" s="133">
        <v>30</v>
      </c>
      <c r="AF48" s="133">
        <v>30</v>
      </c>
      <c r="AG48" s="133">
        <v>30</v>
      </c>
      <c r="AH48" s="108" t="s">
        <v>2</v>
      </c>
    </row>
    <row r="49" spans="2:34" ht="14.1" customHeight="1">
      <c r="B49" s="170"/>
      <c r="C49" s="171"/>
      <c r="D49" s="112" t="s">
        <v>210</v>
      </c>
      <c r="E49" s="133" t="s">
        <v>181</v>
      </c>
      <c r="F49" s="133" t="s">
        <v>181</v>
      </c>
      <c r="G49" s="133" t="s">
        <v>181</v>
      </c>
      <c r="H49" s="133" t="s">
        <v>181</v>
      </c>
      <c r="I49" s="133" t="s">
        <v>181</v>
      </c>
      <c r="J49" s="113"/>
      <c r="K49" s="133" t="s">
        <v>181</v>
      </c>
      <c r="L49" s="133" t="s">
        <v>181</v>
      </c>
      <c r="M49" s="133" t="s">
        <v>181</v>
      </c>
      <c r="N49" s="133" t="s">
        <v>181</v>
      </c>
      <c r="O49" s="133" t="s">
        <v>181</v>
      </c>
      <c r="P49" s="114"/>
      <c r="Q49" s="133">
        <v>26</v>
      </c>
      <c r="R49" s="133">
        <v>24</v>
      </c>
      <c r="S49" s="133"/>
      <c r="T49" s="133"/>
      <c r="U49" s="133"/>
      <c r="W49" s="133">
        <v>24</v>
      </c>
      <c r="X49" s="133">
        <v>23</v>
      </c>
      <c r="Y49" s="133">
        <v>23</v>
      </c>
      <c r="Z49" s="133">
        <v>22</v>
      </c>
      <c r="AA49" s="133">
        <v>21</v>
      </c>
      <c r="AC49" s="133">
        <v>30</v>
      </c>
      <c r="AD49" s="133">
        <v>30</v>
      </c>
      <c r="AE49" s="133">
        <v>30</v>
      </c>
      <c r="AF49" s="133">
        <v>30</v>
      </c>
      <c r="AG49" s="133">
        <v>30</v>
      </c>
      <c r="AH49" s="108" t="s">
        <v>2</v>
      </c>
    </row>
    <row r="50" spans="2:34" ht="14.1" customHeight="1">
      <c r="B50" s="170" t="s">
        <v>224</v>
      </c>
      <c r="C50" s="184" t="s">
        <v>158</v>
      </c>
      <c r="D50" s="112" t="s">
        <v>144</v>
      </c>
      <c r="E50" s="133" t="s">
        <v>181</v>
      </c>
      <c r="F50" s="133" t="s">
        <v>181</v>
      </c>
      <c r="G50" s="133" t="s">
        <v>181</v>
      </c>
      <c r="H50" s="133" t="s">
        <v>181</v>
      </c>
      <c r="I50" s="133" t="s">
        <v>181</v>
      </c>
      <c r="J50" s="113"/>
      <c r="K50" s="133" t="s">
        <v>181</v>
      </c>
      <c r="L50" s="133" t="s">
        <v>181</v>
      </c>
      <c r="M50" s="133" t="s">
        <v>181</v>
      </c>
      <c r="N50" s="133" t="s">
        <v>181</v>
      </c>
      <c r="O50" s="133" t="s">
        <v>181</v>
      </c>
      <c r="P50" s="114"/>
      <c r="Q50" s="133">
        <v>190</v>
      </c>
      <c r="R50" s="133">
        <v>170</v>
      </c>
      <c r="S50" s="133"/>
      <c r="T50" s="133"/>
      <c r="U50" s="133"/>
      <c r="W50" s="133">
        <v>220</v>
      </c>
      <c r="X50" s="133">
        <v>210</v>
      </c>
      <c r="Y50" s="133">
        <v>200</v>
      </c>
      <c r="Z50" s="133">
        <v>180</v>
      </c>
      <c r="AA50" s="133">
        <v>160</v>
      </c>
      <c r="AC50" s="133">
        <v>220</v>
      </c>
      <c r="AD50" s="133">
        <v>194</v>
      </c>
      <c r="AE50" s="133">
        <v>178</v>
      </c>
      <c r="AF50" s="133">
        <v>155</v>
      </c>
      <c r="AG50" s="133">
        <v>145</v>
      </c>
      <c r="AH50" s="108" t="s">
        <v>2</v>
      </c>
    </row>
    <row r="51" spans="2:34" ht="14.1" customHeight="1">
      <c r="B51" s="170"/>
      <c r="C51" s="184"/>
      <c r="D51" s="112" t="s">
        <v>210</v>
      </c>
      <c r="E51" s="133" t="s">
        <v>181</v>
      </c>
      <c r="F51" s="133" t="s">
        <v>181</v>
      </c>
      <c r="G51" s="133" t="s">
        <v>181</v>
      </c>
      <c r="H51" s="133" t="s">
        <v>181</v>
      </c>
      <c r="I51" s="133" t="s">
        <v>181</v>
      </c>
      <c r="J51" s="113"/>
      <c r="K51" s="133" t="s">
        <v>181</v>
      </c>
      <c r="L51" s="133" t="s">
        <v>181</v>
      </c>
      <c r="M51" s="133" t="s">
        <v>181</v>
      </c>
      <c r="N51" s="133" t="s">
        <v>181</v>
      </c>
      <c r="O51" s="133" t="s">
        <v>181</v>
      </c>
      <c r="P51" s="114"/>
      <c r="Q51" s="133">
        <v>210</v>
      </c>
      <c r="R51" s="133">
        <v>180</v>
      </c>
      <c r="S51" s="133"/>
      <c r="T51" s="133"/>
      <c r="U51" s="133"/>
      <c r="W51" s="133">
        <v>220</v>
      </c>
      <c r="X51" s="133">
        <v>210</v>
      </c>
      <c r="Y51" s="133">
        <v>200</v>
      </c>
      <c r="Z51" s="133">
        <v>180</v>
      </c>
      <c r="AA51" s="133">
        <v>160</v>
      </c>
      <c r="AC51" s="133">
        <v>220</v>
      </c>
      <c r="AD51" s="133">
        <v>194</v>
      </c>
      <c r="AE51" s="133">
        <v>178</v>
      </c>
      <c r="AF51" s="133">
        <v>155</v>
      </c>
      <c r="AG51" s="133">
        <v>145</v>
      </c>
      <c r="AH51" s="108" t="s">
        <v>2</v>
      </c>
    </row>
    <row r="52" spans="2:34" ht="14.1" customHeight="1">
      <c r="B52" s="170" t="s">
        <v>225</v>
      </c>
      <c r="C52" s="184" t="s">
        <v>160</v>
      </c>
      <c r="D52" s="112" t="s">
        <v>144</v>
      </c>
      <c r="E52" s="133" t="s">
        <v>181</v>
      </c>
      <c r="F52" s="133" t="s">
        <v>181</v>
      </c>
      <c r="G52" s="133" t="s">
        <v>181</v>
      </c>
      <c r="H52" s="133" t="s">
        <v>181</v>
      </c>
      <c r="I52" s="133" t="s">
        <v>181</v>
      </c>
      <c r="J52" s="113"/>
      <c r="K52" s="133" t="s">
        <v>181</v>
      </c>
      <c r="L52" s="133" t="s">
        <v>181</v>
      </c>
      <c r="M52" s="133" t="s">
        <v>181</v>
      </c>
      <c r="N52" s="133" t="s">
        <v>181</v>
      </c>
      <c r="O52" s="133" t="s">
        <v>181</v>
      </c>
      <c r="P52" s="114"/>
      <c r="Q52" s="133">
        <v>180</v>
      </c>
      <c r="R52" s="133">
        <v>160</v>
      </c>
      <c r="S52" s="133"/>
      <c r="T52" s="133"/>
      <c r="U52" s="133"/>
      <c r="W52" s="133">
        <v>180</v>
      </c>
      <c r="X52" s="133">
        <v>175</v>
      </c>
      <c r="Y52" s="133">
        <v>175</v>
      </c>
      <c r="Z52" s="133">
        <v>145</v>
      </c>
      <c r="AA52" s="133">
        <v>125</v>
      </c>
      <c r="AC52" s="133">
        <v>190</v>
      </c>
      <c r="AD52" s="133">
        <v>185</v>
      </c>
      <c r="AE52" s="133">
        <v>170</v>
      </c>
      <c r="AF52" s="133">
        <v>155</v>
      </c>
      <c r="AG52" s="133">
        <v>145</v>
      </c>
      <c r="AH52" s="108" t="s">
        <v>2</v>
      </c>
    </row>
    <row r="53" spans="2:34" ht="14.1" customHeight="1">
      <c r="B53" s="170"/>
      <c r="C53" s="184"/>
      <c r="D53" s="112" t="s">
        <v>210</v>
      </c>
      <c r="E53" s="133" t="s">
        <v>181</v>
      </c>
      <c r="F53" s="133" t="s">
        <v>181</v>
      </c>
      <c r="G53" s="133" t="s">
        <v>181</v>
      </c>
      <c r="H53" s="133" t="s">
        <v>181</v>
      </c>
      <c r="I53" s="133" t="s">
        <v>181</v>
      </c>
      <c r="J53" s="113"/>
      <c r="K53" s="133" t="s">
        <v>181</v>
      </c>
      <c r="L53" s="133" t="s">
        <v>181</v>
      </c>
      <c r="M53" s="133" t="s">
        <v>181</v>
      </c>
      <c r="N53" s="133" t="s">
        <v>181</v>
      </c>
      <c r="O53" s="133" t="s">
        <v>181</v>
      </c>
      <c r="P53" s="114"/>
      <c r="Q53" s="133">
        <v>185</v>
      </c>
      <c r="R53" s="133">
        <v>165</v>
      </c>
      <c r="S53" s="133"/>
      <c r="T53" s="133"/>
      <c r="U53" s="133"/>
      <c r="W53" s="133">
        <v>185</v>
      </c>
      <c r="X53" s="133">
        <v>175</v>
      </c>
      <c r="Y53" s="133">
        <v>175</v>
      </c>
      <c r="Z53" s="133">
        <v>150</v>
      </c>
      <c r="AA53" s="133">
        <v>140</v>
      </c>
      <c r="AC53" s="133">
        <v>190</v>
      </c>
      <c r="AD53" s="133">
        <v>185</v>
      </c>
      <c r="AE53" s="133">
        <v>170</v>
      </c>
      <c r="AF53" s="133">
        <v>155</v>
      </c>
      <c r="AG53" s="133">
        <v>145</v>
      </c>
      <c r="AH53" s="108" t="s">
        <v>2</v>
      </c>
    </row>
    <row r="54" spans="2:34" ht="14.1" customHeight="1">
      <c r="B54" s="170" t="s">
        <v>312</v>
      </c>
      <c r="C54" s="171" t="s">
        <v>161</v>
      </c>
      <c r="D54" s="112" t="s">
        <v>144</v>
      </c>
      <c r="E54" s="133" t="s">
        <v>181</v>
      </c>
      <c r="F54" s="133" t="s">
        <v>181</v>
      </c>
      <c r="G54" s="133" t="s">
        <v>181</v>
      </c>
      <c r="H54" s="133" t="s">
        <v>181</v>
      </c>
      <c r="I54" s="133" t="s">
        <v>181</v>
      </c>
      <c r="J54" s="113"/>
      <c r="K54" s="133" t="s">
        <v>181</v>
      </c>
      <c r="L54" s="133" t="s">
        <v>181</v>
      </c>
      <c r="M54" s="133" t="s">
        <v>181</v>
      </c>
      <c r="N54" s="133" t="s">
        <v>181</v>
      </c>
      <c r="O54" s="133" t="s">
        <v>181</v>
      </c>
      <c r="P54" s="114"/>
      <c r="Q54" s="133">
        <v>90</v>
      </c>
      <c r="R54" s="133">
        <v>90</v>
      </c>
      <c r="S54" s="133"/>
      <c r="T54" s="133"/>
      <c r="U54" s="133"/>
      <c r="W54" s="133">
        <v>130</v>
      </c>
      <c r="X54" s="133">
        <v>130</v>
      </c>
      <c r="Y54" s="133">
        <v>130</v>
      </c>
      <c r="Z54" s="133">
        <v>130</v>
      </c>
      <c r="AA54" s="133">
        <v>130</v>
      </c>
      <c r="AC54" s="133">
        <v>150</v>
      </c>
      <c r="AD54" s="133">
        <v>150</v>
      </c>
      <c r="AE54" s="133">
        <v>150</v>
      </c>
      <c r="AF54" s="133">
        <v>150</v>
      </c>
      <c r="AG54" s="133">
        <v>150</v>
      </c>
      <c r="AH54" s="108" t="s">
        <v>2</v>
      </c>
    </row>
    <row r="55" spans="2:34" ht="14.1" customHeight="1">
      <c r="B55" s="170"/>
      <c r="C55" s="171"/>
      <c r="D55" s="112" t="s">
        <v>210</v>
      </c>
      <c r="E55" s="133" t="s">
        <v>181</v>
      </c>
      <c r="F55" s="133" t="s">
        <v>181</v>
      </c>
      <c r="G55" s="133" t="s">
        <v>181</v>
      </c>
      <c r="H55" s="133" t="s">
        <v>181</v>
      </c>
      <c r="I55" s="133" t="s">
        <v>181</v>
      </c>
      <c r="J55" s="113"/>
      <c r="K55" s="133" t="s">
        <v>181</v>
      </c>
      <c r="L55" s="133" t="s">
        <v>181</v>
      </c>
      <c r="M55" s="133" t="s">
        <v>181</v>
      </c>
      <c r="N55" s="133" t="s">
        <v>181</v>
      </c>
      <c r="O55" s="133" t="s">
        <v>181</v>
      </c>
      <c r="P55" s="114"/>
      <c r="Q55" s="133">
        <v>90</v>
      </c>
      <c r="R55" s="133">
        <v>90</v>
      </c>
      <c r="S55" s="133"/>
      <c r="T55" s="133"/>
      <c r="U55" s="133"/>
      <c r="W55" s="133">
        <v>130</v>
      </c>
      <c r="X55" s="133">
        <v>130</v>
      </c>
      <c r="Y55" s="133">
        <v>130</v>
      </c>
      <c r="Z55" s="133">
        <v>130</v>
      </c>
      <c r="AA55" s="133">
        <v>130</v>
      </c>
      <c r="AC55" s="133">
        <v>150</v>
      </c>
      <c r="AD55" s="133">
        <v>150</v>
      </c>
      <c r="AE55" s="133">
        <v>150</v>
      </c>
      <c r="AF55" s="133">
        <v>150</v>
      </c>
      <c r="AG55" s="133">
        <v>150</v>
      </c>
      <c r="AH55" s="108" t="s">
        <v>2</v>
      </c>
    </row>
    <row r="56" spans="2:34" ht="13.5" customHeight="1">
      <c r="B56" s="170" t="s">
        <v>249</v>
      </c>
      <c r="C56" s="171" t="s">
        <v>245</v>
      </c>
      <c r="D56" s="112" t="s">
        <v>144</v>
      </c>
      <c r="E56" s="133" t="s">
        <v>181</v>
      </c>
      <c r="F56" s="133" t="s">
        <v>181</v>
      </c>
      <c r="G56" s="133" t="s">
        <v>181</v>
      </c>
      <c r="H56" s="133" t="s">
        <v>181</v>
      </c>
      <c r="I56" s="133" t="s">
        <v>181</v>
      </c>
      <c r="J56" s="113"/>
      <c r="K56" s="133" t="s">
        <v>181</v>
      </c>
      <c r="L56" s="133" t="s">
        <v>181</v>
      </c>
      <c r="M56" s="133" t="s">
        <v>181</v>
      </c>
      <c r="N56" s="133" t="s">
        <v>181</v>
      </c>
      <c r="O56" s="133" t="s">
        <v>181</v>
      </c>
      <c r="P56" s="114"/>
      <c r="Q56" s="133">
        <v>0.8</v>
      </c>
      <c r="R56" s="133">
        <v>0.8</v>
      </c>
      <c r="S56" s="133"/>
      <c r="T56" s="133"/>
      <c r="U56" s="133"/>
      <c r="W56" s="133">
        <v>2.5</v>
      </c>
      <c r="X56" s="133">
        <v>2.5</v>
      </c>
      <c r="Y56" s="133">
        <v>2.5</v>
      </c>
      <c r="Z56" s="133">
        <v>2.5</v>
      </c>
      <c r="AA56" s="133">
        <v>2.5</v>
      </c>
      <c r="AC56" s="133">
        <v>3.2</v>
      </c>
      <c r="AD56" s="133">
        <v>3.2</v>
      </c>
      <c r="AE56" s="133">
        <v>3.2</v>
      </c>
      <c r="AF56" s="133">
        <v>3.2</v>
      </c>
      <c r="AG56" s="133">
        <v>3.2</v>
      </c>
      <c r="AH56" s="108" t="s">
        <v>2</v>
      </c>
    </row>
    <row r="57" spans="2:34" ht="14.1" customHeight="1">
      <c r="B57" s="170"/>
      <c r="C57" s="171"/>
      <c r="D57" s="112" t="s">
        <v>210</v>
      </c>
      <c r="E57" s="133" t="s">
        <v>181</v>
      </c>
      <c r="F57" s="133" t="s">
        <v>181</v>
      </c>
      <c r="G57" s="133" t="s">
        <v>181</v>
      </c>
      <c r="H57" s="133" t="s">
        <v>181</v>
      </c>
      <c r="I57" s="133" t="s">
        <v>181</v>
      </c>
      <c r="J57" s="113"/>
      <c r="K57" s="133" t="s">
        <v>181</v>
      </c>
      <c r="L57" s="133" t="s">
        <v>181</v>
      </c>
      <c r="M57" s="133" t="s">
        <v>181</v>
      </c>
      <c r="N57" s="133" t="s">
        <v>181</v>
      </c>
      <c r="O57" s="133" t="s">
        <v>181</v>
      </c>
      <c r="P57" s="114"/>
      <c r="Q57" s="133">
        <v>0.8</v>
      </c>
      <c r="R57" s="133">
        <v>0.8</v>
      </c>
      <c r="S57" s="133"/>
      <c r="T57" s="133"/>
      <c r="U57" s="133"/>
      <c r="W57" s="133">
        <v>2.5</v>
      </c>
      <c r="X57" s="133">
        <v>2.5</v>
      </c>
      <c r="Y57" s="133">
        <v>2.5</v>
      </c>
      <c r="Z57" s="133">
        <v>2.5</v>
      </c>
      <c r="AA57" s="133">
        <v>2.5</v>
      </c>
      <c r="AC57" s="133">
        <v>3.2</v>
      </c>
      <c r="AD57" s="133">
        <v>3.2</v>
      </c>
      <c r="AE57" s="133">
        <v>3.2</v>
      </c>
      <c r="AF57" s="133">
        <v>3.2</v>
      </c>
      <c r="AG57" s="133">
        <v>3.2</v>
      </c>
      <c r="AH57" s="108" t="s">
        <v>2</v>
      </c>
    </row>
    <row r="58" spans="2:34" ht="14.1" customHeight="1">
      <c r="B58" s="170" t="s">
        <v>250</v>
      </c>
      <c r="C58" s="171" t="s">
        <v>248</v>
      </c>
      <c r="D58" s="112" t="s">
        <v>144</v>
      </c>
      <c r="E58" s="133" t="s">
        <v>181</v>
      </c>
      <c r="F58" s="133" t="s">
        <v>181</v>
      </c>
      <c r="G58" s="133" t="s">
        <v>181</v>
      </c>
      <c r="H58" s="133" t="s">
        <v>181</v>
      </c>
      <c r="I58" s="133" t="s">
        <v>181</v>
      </c>
      <c r="J58" s="113"/>
      <c r="K58" s="133" t="s">
        <v>181</v>
      </c>
      <c r="L58" s="133" t="s">
        <v>181</v>
      </c>
      <c r="M58" s="133" t="s">
        <v>181</v>
      </c>
      <c r="N58" s="133" t="s">
        <v>181</v>
      </c>
      <c r="O58" s="133" t="s">
        <v>181</v>
      </c>
      <c r="P58" s="114"/>
      <c r="Q58" s="133">
        <v>0.03</v>
      </c>
      <c r="R58" s="133">
        <v>0.03</v>
      </c>
      <c r="S58" s="133"/>
      <c r="T58" s="133"/>
      <c r="U58" s="133"/>
      <c r="W58" s="133">
        <v>0.03</v>
      </c>
      <c r="X58" s="133">
        <v>0.03</v>
      </c>
      <c r="Y58" s="133">
        <v>0.03</v>
      </c>
      <c r="Z58" s="133">
        <v>0.03</v>
      </c>
      <c r="AA58" s="133">
        <v>0.03</v>
      </c>
      <c r="AC58" s="133">
        <v>0.1</v>
      </c>
      <c r="AD58" s="133">
        <v>0.1</v>
      </c>
      <c r="AE58" s="133">
        <v>0.1</v>
      </c>
      <c r="AF58" s="133">
        <v>0.1</v>
      </c>
      <c r="AG58" s="133">
        <v>0.1</v>
      </c>
      <c r="AH58" s="108" t="s">
        <v>2</v>
      </c>
    </row>
    <row r="59" spans="2:34" ht="14.1" customHeight="1">
      <c r="B59" s="170"/>
      <c r="C59" s="171"/>
      <c r="D59" s="112" t="s">
        <v>210</v>
      </c>
      <c r="E59" s="133" t="s">
        <v>181</v>
      </c>
      <c r="F59" s="133" t="s">
        <v>181</v>
      </c>
      <c r="G59" s="133" t="s">
        <v>181</v>
      </c>
      <c r="H59" s="133" t="s">
        <v>181</v>
      </c>
      <c r="I59" s="133" t="s">
        <v>181</v>
      </c>
      <c r="J59" s="113"/>
      <c r="K59" s="133" t="s">
        <v>181</v>
      </c>
      <c r="L59" s="133" t="s">
        <v>181</v>
      </c>
      <c r="M59" s="133" t="s">
        <v>181</v>
      </c>
      <c r="N59" s="133" t="s">
        <v>181</v>
      </c>
      <c r="O59" s="133" t="s">
        <v>181</v>
      </c>
      <c r="P59" s="114"/>
      <c r="Q59" s="133">
        <v>0.03</v>
      </c>
      <c r="R59" s="133">
        <v>0.03</v>
      </c>
      <c r="S59" s="133"/>
      <c r="T59" s="133"/>
      <c r="U59" s="133"/>
      <c r="W59" s="133">
        <v>0.03</v>
      </c>
      <c r="X59" s="133">
        <v>0.03</v>
      </c>
      <c r="Y59" s="133">
        <v>0.03</v>
      </c>
      <c r="Z59" s="133">
        <v>0.03</v>
      </c>
      <c r="AA59" s="133">
        <v>0.03</v>
      </c>
      <c r="AC59" s="133">
        <v>0.1</v>
      </c>
      <c r="AD59" s="133">
        <v>0.1</v>
      </c>
      <c r="AE59" s="133">
        <v>0.1</v>
      </c>
      <c r="AF59" s="133">
        <v>0.1</v>
      </c>
      <c r="AG59" s="133">
        <v>0.1</v>
      </c>
      <c r="AH59" s="108" t="s">
        <v>2</v>
      </c>
    </row>
    <row r="60" spans="2:34" ht="13.8">
      <c r="B60" s="176"/>
      <c r="C60" s="177"/>
      <c r="D60" s="178"/>
      <c r="E60" s="115"/>
      <c r="F60" s="115"/>
      <c r="G60" s="115"/>
      <c r="H60" s="116"/>
      <c r="I60" s="117"/>
      <c r="J60" s="113"/>
      <c r="K60" s="115"/>
      <c r="L60" s="115"/>
      <c r="M60" s="115"/>
      <c r="N60" s="116"/>
      <c r="O60" s="117"/>
      <c r="P60" s="114"/>
      <c r="Q60" s="115"/>
      <c r="R60" s="115"/>
      <c r="S60" s="115"/>
      <c r="T60" s="116"/>
      <c r="U60" s="117"/>
      <c r="W60" s="115"/>
      <c r="X60" s="167"/>
      <c r="Y60" s="167"/>
      <c r="Z60" s="116"/>
      <c r="AA60" s="117"/>
      <c r="AC60" s="109"/>
      <c r="AD60" s="109"/>
      <c r="AE60" s="109"/>
      <c r="AF60" s="116"/>
      <c r="AG60" s="135"/>
      <c r="AH60" s="111"/>
    </row>
    <row r="61" spans="2:34" ht="14.1" customHeight="1">
      <c r="B61" s="170" t="s">
        <v>227</v>
      </c>
      <c r="C61" s="182" t="s">
        <v>148</v>
      </c>
      <c r="D61" s="112" t="s">
        <v>144</v>
      </c>
      <c r="E61" s="133" t="s">
        <v>181</v>
      </c>
      <c r="F61" s="133" t="s">
        <v>181</v>
      </c>
      <c r="G61" s="133" t="s">
        <v>181</v>
      </c>
      <c r="H61" s="133" t="s">
        <v>181</v>
      </c>
      <c r="I61" s="133" t="s">
        <v>181</v>
      </c>
      <c r="J61" s="134"/>
      <c r="K61" s="133" t="s">
        <v>181</v>
      </c>
      <c r="L61" s="133" t="s">
        <v>181</v>
      </c>
      <c r="M61" s="133" t="s">
        <v>181</v>
      </c>
      <c r="N61" s="133" t="s">
        <v>181</v>
      </c>
      <c r="O61" s="133" t="s">
        <v>181</v>
      </c>
      <c r="P61" s="114"/>
      <c r="Q61" s="133">
        <v>8</v>
      </c>
      <c r="R61" s="133">
        <v>8</v>
      </c>
      <c r="S61" s="133"/>
      <c r="T61" s="133"/>
      <c r="U61" s="133"/>
      <c r="W61" s="133">
        <v>6</v>
      </c>
      <c r="X61" s="133">
        <v>6</v>
      </c>
      <c r="Y61" s="133">
        <v>6</v>
      </c>
      <c r="Z61" s="133">
        <v>6</v>
      </c>
      <c r="AA61" s="133">
        <v>6</v>
      </c>
      <c r="AC61" s="133">
        <v>7</v>
      </c>
      <c r="AD61" s="133">
        <v>6</v>
      </c>
      <c r="AE61" s="133">
        <v>6</v>
      </c>
      <c r="AF61" s="133">
        <v>6</v>
      </c>
      <c r="AG61" s="133">
        <v>6</v>
      </c>
      <c r="AH61" s="108" t="s">
        <v>2</v>
      </c>
    </row>
    <row r="62" spans="2:34" ht="14.1" customHeight="1">
      <c r="B62" s="170"/>
      <c r="C62" s="183"/>
      <c r="D62" s="112" t="s">
        <v>210</v>
      </c>
      <c r="E62" s="133" t="s">
        <v>181</v>
      </c>
      <c r="F62" s="133" t="s">
        <v>181</v>
      </c>
      <c r="G62" s="133" t="s">
        <v>181</v>
      </c>
      <c r="H62" s="133" t="s">
        <v>181</v>
      </c>
      <c r="I62" s="133" t="s">
        <v>181</v>
      </c>
      <c r="J62" s="134"/>
      <c r="K62" s="133" t="s">
        <v>181</v>
      </c>
      <c r="L62" s="133" t="s">
        <v>181</v>
      </c>
      <c r="M62" s="133" t="s">
        <v>181</v>
      </c>
      <c r="N62" s="133" t="s">
        <v>181</v>
      </c>
      <c r="O62" s="133" t="s">
        <v>181</v>
      </c>
      <c r="P62" s="114"/>
      <c r="Q62" s="133">
        <v>8</v>
      </c>
      <c r="R62" s="133">
        <v>8</v>
      </c>
      <c r="S62" s="133"/>
      <c r="T62" s="133"/>
      <c r="U62" s="133"/>
      <c r="W62" s="133">
        <v>6</v>
      </c>
      <c r="X62" s="133">
        <v>6</v>
      </c>
      <c r="Y62" s="133">
        <v>6</v>
      </c>
      <c r="Z62" s="133">
        <v>6</v>
      </c>
      <c r="AA62" s="133">
        <v>6</v>
      </c>
      <c r="AC62" s="133">
        <v>7</v>
      </c>
      <c r="AD62" s="133">
        <v>6</v>
      </c>
      <c r="AE62" s="133">
        <v>6</v>
      </c>
      <c r="AF62" s="133">
        <v>6</v>
      </c>
      <c r="AG62" s="133">
        <v>6</v>
      </c>
      <c r="AH62" s="108" t="s">
        <v>2</v>
      </c>
    </row>
    <row r="63" spans="2:34" ht="14.1" customHeight="1">
      <c r="B63" s="187" t="s">
        <v>240</v>
      </c>
      <c r="C63" s="172" t="s">
        <v>150</v>
      </c>
      <c r="D63" s="112" t="s">
        <v>144</v>
      </c>
      <c r="E63" s="133" t="s">
        <v>181</v>
      </c>
      <c r="F63" s="133" t="s">
        <v>181</v>
      </c>
      <c r="G63" s="133" t="s">
        <v>181</v>
      </c>
      <c r="H63" s="133" t="s">
        <v>181</v>
      </c>
      <c r="I63" s="133" t="s">
        <v>181</v>
      </c>
      <c r="J63" s="134"/>
      <c r="K63" s="133" t="s">
        <v>181</v>
      </c>
      <c r="L63" s="133" t="s">
        <v>181</v>
      </c>
      <c r="M63" s="133" t="s">
        <v>181</v>
      </c>
      <c r="N63" s="133" t="s">
        <v>181</v>
      </c>
      <c r="O63" s="133" t="s">
        <v>181</v>
      </c>
      <c r="P63" s="114"/>
      <c r="Q63" s="133">
        <v>0.03</v>
      </c>
      <c r="R63" s="133">
        <v>0.03</v>
      </c>
      <c r="S63" s="133"/>
      <c r="T63" s="133"/>
      <c r="U63" s="133"/>
      <c r="W63" s="133">
        <v>0.1</v>
      </c>
      <c r="X63" s="133">
        <v>0.1</v>
      </c>
      <c r="Y63" s="133">
        <v>0.1</v>
      </c>
      <c r="Z63" s="133">
        <v>0.1</v>
      </c>
      <c r="AA63" s="133">
        <v>0.1</v>
      </c>
      <c r="AC63" s="133">
        <v>0.05</v>
      </c>
      <c r="AD63" s="133">
        <v>0.05</v>
      </c>
      <c r="AE63" s="133">
        <v>0.05</v>
      </c>
      <c r="AF63" s="133">
        <v>0.05</v>
      </c>
      <c r="AG63" s="133">
        <v>0.05</v>
      </c>
      <c r="AH63" s="108" t="s">
        <v>2</v>
      </c>
    </row>
    <row r="64" spans="2:34" ht="14.1" customHeight="1">
      <c r="B64" s="188"/>
      <c r="C64" s="173"/>
      <c r="D64" s="112" t="s">
        <v>210</v>
      </c>
      <c r="E64" s="133" t="s">
        <v>181</v>
      </c>
      <c r="F64" s="133" t="s">
        <v>181</v>
      </c>
      <c r="G64" s="133" t="s">
        <v>181</v>
      </c>
      <c r="H64" s="133" t="s">
        <v>181</v>
      </c>
      <c r="I64" s="133" t="s">
        <v>181</v>
      </c>
      <c r="J64" s="134"/>
      <c r="K64" s="133" t="s">
        <v>181</v>
      </c>
      <c r="L64" s="133" t="s">
        <v>181</v>
      </c>
      <c r="M64" s="133" t="s">
        <v>181</v>
      </c>
      <c r="N64" s="133" t="s">
        <v>181</v>
      </c>
      <c r="O64" s="133" t="s">
        <v>181</v>
      </c>
      <c r="P64" s="114"/>
      <c r="Q64" s="133">
        <v>0.03</v>
      </c>
      <c r="R64" s="133">
        <v>0.03</v>
      </c>
      <c r="S64" s="133"/>
      <c r="T64" s="133"/>
      <c r="U64" s="133"/>
      <c r="W64" s="133">
        <v>0.1</v>
      </c>
      <c r="X64" s="133">
        <v>0.1</v>
      </c>
      <c r="Y64" s="133">
        <v>0.1</v>
      </c>
      <c r="Z64" s="133">
        <v>0.1</v>
      </c>
      <c r="AA64" s="133">
        <v>0.1</v>
      </c>
      <c r="AC64" s="133">
        <v>0.05</v>
      </c>
      <c r="AD64" s="133">
        <v>0.05</v>
      </c>
      <c r="AE64" s="133">
        <v>0.05</v>
      </c>
      <c r="AF64" s="133">
        <v>0.05</v>
      </c>
      <c r="AG64" s="133">
        <v>0.05</v>
      </c>
      <c r="AH64" s="108" t="s">
        <v>2</v>
      </c>
    </row>
    <row r="65" spans="2:34" ht="14.1" customHeight="1">
      <c r="B65" s="187" t="s">
        <v>238</v>
      </c>
      <c r="C65" s="172" t="s">
        <v>236</v>
      </c>
      <c r="D65" s="112" t="s">
        <v>144</v>
      </c>
      <c r="E65" s="133" t="s">
        <v>181</v>
      </c>
      <c r="F65" s="133" t="s">
        <v>181</v>
      </c>
      <c r="G65" s="133" t="s">
        <v>181</v>
      </c>
      <c r="H65" s="133" t="s">
        <v>181</v>
      </c>
      <c r="I65" s="133" t="s">
        <v>181</v>
      </c>
      <c r="J65" s="134"/>
      <c r="K65" s="133" t="s">
        <v>181</v>
      </c>
      <c r="L65" s="133" t="s">
        <v>181</v>
      </c>
      <c r="M65" s="133" t="s">
        <v>181</v>
      </c>
      <c r="N65" s="133" t="s">
        <v>181</v>
      </c>
      <c r="O65" s="133" t="s">
        <v>181</v>
      </c>
      <c r="P65" s="114"/>
      <c r="Q65" s="133">
        <v>0.03</v>
      </c>
      <c r="R65" s="133">
        <v>0.03</v>
      </c>
      <c r="S65" s="133"/>
      <c r="T65" s="133"/>
      <c r="U65" s="133"/>
      <c r="W65" s="133">
        <v>0.1</v>
      </c>
      <c r="X65" s="133">
        <v>0.1</v>
      </c>
      <c r="Y65" s="133">
        <v>0.1</v>
      </c>
      <c r="Z65" s="133">
        <v>0.1</v>
      </c>
      <c r="AA65" s="133">
        <v>0.1</v>
      </c>
      <c r="AC65" s="133">
        <v>0.05</v>
      </c>
      <c r="AD65" s="133">
        <v>0.05</v>
      </c>
      <c r="AE65" s="133">
        <v>0.05</v>
      </c>
      <c r="AF65" s="133">
        <v>0.05</v>
      </c>
      <c r="AG65" s="133">
        <v>0.05</v>
      </c>
      <c r="AH65" s="108" t="s">
        <v>2</v>
      </c>
    </row>
    <row r="66" spans="2:34" ht="14.1" customHeight="1">
      <c r="B66" s="188"/>
      <c r="C66" s="173"/>
      <c r="D66" s="112" t="s">
        <v>210</v>
      </c>
      <c r="E66" s="133" t="s">
        <v>181</v>
      </c>
      <c r="F66" s="133" t="s">
        <v>181</v>
      </c>
      <c r="G66" s="133" t="s">
        <v>181</v>
      </c>
      <c r="H66" s="133" t="s">
        <v>181</v>
      </c>
      <c r="I66" s="133" t="s">
        <v>181</v>
      </c>
      <c r="J66" s="134"/>
      <c r="K66" s="133" t="s">
        <v>181</v>
      </c>
      <c r="L66" s="133" t="s">
        <v>181</v>
      </c>
      <c r="M66" s="133" t="s">
        <v>181</v>
      </c>
      <c r="N66" s="133" t="s">
        <v>181</v>
      </c>
      <c r="O66" s="133" t="s">
        <v>181</v>
      </c>
      <c r="P66" s="114"/>
      <c r="Q66" s="133">
        <v>0.03</v>
      </c>
      <c r="R66" s="133">
        <v>0.03</v>
      </c>
      <c r="S66" s="133"/>
      <c r="T66" s="133"/>
      <c r="U66" s="133"/>
      <c r="W66" s="133">
        <v>0.1</v>
      </c>
      <c r="X66" s="133">
        <v>0.1</v>
      </c>
      <c r="Y66" s="133">
        <v>0.1</v>
      </c>
      <c r="Z66" s="133">
        <v>0.1</v>
      </c>
      <c r="AA66" s="133">
        <v>0.1</v>
      </c>
      <c r="AC66" s="133">
        <v>0.05</v>
      </c>
      <c r="AD66" s="133">
        <v>0.05</v>
      </c>
      <c r="AE66" s="133">
        <v>0.05</v>
      </c>
      <c r="AF66" s="133">
        <v>0.05</v>
      </c>
      <c r="AG66" s="133">
        <v>0.05</v>
      </c>
      <c r="AH66" s="108" t="s">
        <v>2</v>
      </c>
    </row>
    <row r="67" spans="2:34" ht="14.1" customHeight="1">
      <c r="B67" s="185" t="s">
        <v>228</v>
      </c>
      <c r="C67" s="182" t="s">
        <v>152</v>
      </c>
      <c r="D67" s="112" t="s">
        <v>144</v>
      </c>
      <c r="E67" s="133" t="s">
        <v>181</v>
      </c>
      <c r="F67" s="133" t="s">
        <v>181</v>
      </c>
      <c r="G67" s="133" t="s">
        <v>181</v>
      </c>
      <c r="H67" s="133" t="s">
        <v>181</v>
      </c>
      <c r="I67" s="133" t="s">
        <v>181</v>
      </c>
      <c r="J67" s="134"/>
      <c r="K67" s="133" t="s">
        <v>181</v>
      </c>
      <c r="L67" s="133" t="s">
        <v>181</v>
      </c>
      <c r="M67" s="133" t="s">
        <v>181</v>
      </c>
      <c r="N67" s="133" t="s">
        <v>181</v>
      </c>
      <c r="O67" s="133" t="s">
        <v>181</v>
      </c>
      <c r="P67" s="114"/>
      <c r="Q67" s="133">
        <v>8</v>
      </c>
      <c r="R67" s="133">
        <v>8</v>
      </c>
      <c r="S67" s="133"/>
      <c r="T67" s="133"/>
      <c r="U67" s="133"/>
      <c r="W67" s="133">
        <v>6</v>
      </c>
      <c r="X67" s="133">
        <v>6</v>
      </c>
      <c r="Y67" s="133">
        <v>6</v>
      </c>
      <c r="Z67" s="133">
        <v>6</v>
      </c>
      <c r="AA67" s="133">
        <v>6</v>
      </c>
      <c r="AC67" s="133">
        <v>7</v>
      </c>
      <c r="AD67" s="133">
        <v>6</v>
      </c>
      <c r="AE67" s="133">
        <v>6</v>
      </c>
      <c r="AF67" s="133">
        <v>6</v>
      </c>
      <c r="AG67" s="133">
        <v>6</v>
      </c>
      <c r="AH67" s="108" t="s">
        <v>2</v>
      </c>
    </row>
    <row r="68" spans="2:34" ht="14.1" customHeight="1">
      <c r="B68" s="186"/>
      <c r="C68" s="183"/>
      <c r="D68" s="112" t="s">
        <v>210</v>
      </c>
      <c r="E68" s="133" t="s">
        <v>181</v>
      </c>
      <c r="F68" s="133" t="s">
        <v>181</v>
      </c>
      <c r="G68" s="133" t="s">
        <v>181</v>
      </c>
      <c r="H68" s="133" t="s">
        <v>181</v>
      </c>
      <c r="I68" s="133" t="s">
        <v>181</v>
      </c>
      <c r="J68" s="134"/>
      <c r="K68" s="133" t="s">
        <v>181</v>
      </c>
      <c r="L68" s="133" t="s">
        <v>181</v>
      </c>
      <c r="M68" s="133" t="s">
        <v>181</v>
      </c>
      <c r="N68" s="133" t="s">
        <v>181</v>
      </c>
      <c r="O68" s="133" t="s">
        <v>181</v>
      </c>
      <c r="P68" s="114"/>
      <c r="Q68" s="133">
        <v>8</v>
      </c>
      <c r="R68" s="133">
        <v>8</v>
      </c>
      <c r="S68" s="133"/>
      <c r="T68" s="133"/>
      <c r="U68" s="133"/>
      <c r="W68" s="133">
        <v>6</v>
      </c>
      <c r="X68" s="133">
        <v>6</v>
      </c>
      <c r="Y68" s="133">
        <v>6</v>
      </c>
      <c r="Z68" s="133">
        <v>6</v>
      </c>
      <c r="AA68" s="133">
        <v>6</v>
      </c>
      <c r="AC68" s="133">
        <v>7</v>
      </c>
      <c r="AD68" s="133">
        <v>6</v>
      </c>
      <c r="AE68" s="133">
        <v>6</v>
      </c>
      <c r="AF68" s="133">
        <v>6</v>
      </c>
      <c r="AG68" s="133">
        <v>6</v>
      </c>
      <c r="AH68" s="108" t="s">
        <v>2</v>
      </c>
    </row>
    <row r="69" spans="2:34" ht="14.1" customHeight="1">
      <c r="B69" s="170" t="s">
        <v>239</v>
      </c>
      <c r="C69" s="184" t="s">
        <v>182</v>
      </c>
      <c r="D69" s="112" t="s">
        <v>144</v>
      </c>
      <c r="E69" s="133" t="s">
        <v>181</v>
      </c>
      <c r="F69" s="133" t="s">
        <v>181</v>
      </c>
      <c r="G69" s="133" t="s">
        <v>181</v>
      </c>
      <c r="H69" s="133" t="s">
        <v>181</v>
      </c>
      <c r="I69" s="133" t="s">
        <v>181</v>
      </c>
      <c r="J69" s="134"/>
      <c r="K69" s="133" t="s">
        <v>181</v>
      </c>
      <c r="L69" s="133" t="s">
        <v>181</v>
      </c>
      <c r="M69" s="133" t="s">
        <v>181</v>
      </c>
      <c r="N69" s="133" t="s">
        <v>181</v>
      </c>
      <c r="O69" s="133" t="s">
        <v>181</v>
      </c>
      <c r="P69" s="114"/>
      <c r="Q69" s="133">
        <v>7.0000000000000007E-2</v>
      </c>
      <c r="R69" s="133">
        <v>7.0000000000000007E-2</v>
      </c>
      <c r="S69" s="133"/>
      <c r="T69" s="133"/>
      <c r="U69" s="133"/>
      <c r="W69" s="133">
        <v>0.12</v>
      </c>
      <c r="X69" s="133">
        <v>0.12</v>
      </c>
      <c r="Y69" s="133">
        <v>0.12</v>
      </c>
      <c r="Z69" s="133">
        <v>0.12</v>
      </c>
      <c r="AA69" s="133">
        <v>0.12</v>
      </c>
      <c r="AC69" s="133">
        <v>0.15</v>
      </c>
      <c r="AD69" s="133">
        <v>0.15</v>
      </c>
      <c r="AE69" s="133">
        <v>0.15</v>
      </c>
      <c r="AF69" s="133">
        <v>0.15</v>
      </c>
      <c r="AG69" s="133">
        <v>0.15</v>
      </c>
      <c r="AH69" s="108" t="s">
        <v>2</v>
      </c>
    </row>
    <row r="70" spans="2:34" ht="14.1" customHeight="1">
      <c r="B70" s="170"/>
      <c r="C70" s="184"/>
      <c r="D70" s="112" t="s">
        <v>210</v>
      </c>
      <c r="E70" s="133" t="s">
        <v>181</v>
      </c>
      <c r="F70" s="133" t="s">
        <v>181</v>
      </c>
      <c r="G70" s="133" t="s">
        <v>181</v>
      </c>
      <c r="H70" s="133" t="s">
        <v>181</v>
      </c>
      <c r="I70" s="133" t="s">
        <v>181</v>
      </c>
      <c r="J70" s="134"/>
      <c r="K70" s="133" t="s">
        <v>181</v>
      </c>
      <c r="L70" s="133" t="s">
        <v>181</v>
      </c>
      <c r="M70" s="133" t="s">
        <v>181</v>
      </c>
      <c r="N70" s="133" t="s">
        <v>181</v>
      </c>
      <c r="O70" s="133" t="s">
        <v>181</v>
      </c>
      <c r="P70" s="114"/>
      <c r="Q70" s="133">
        <v>7.0000000000000007E-2</v>
      </c>
      <c r="R70" s="133">
        <v>7.0000000000000007E-2</v>
      </c>
      <c r="S70" s="133"/>
      <c r="T70" s="133"/>
      <c r="U70" s="133"/>
      <c r="W70" s="133">
        <v>0.12</v>
      </c>
      <c r="X70" s="133">
        <v>0.12</v>
      </c>
      <c r="Y70" s="133">
        <v>0.12</v>
      </c>
      <c r="Z70" s="133">
        <v>0.12</v>
      </c>
      <c r="AA70" s="133">
        <v>0.12</v>
      </c>
      <c r="AC70" s="133">
        <v>0.15</v>
      </c>
      <c r="AD70" s="133">
        <v>0.15</v>
      </c>
      <c r="AE70" s="133">
        <v>0.15</v>
      </c>
      <c r="AF70" s="133">
        <v>0.15</v>
      </c>
      <c r="AG70" s="133">
        <v>0.15</v>
      </c>
      <c r="AH70" s="108" t="s">
        <v>2</v>
      </c>
    </row>
    <row r="71" spans="2:34" ht="14.1" customHeight="1">
      <c r="B71" s="170" t="s">
        <v>243</v>
      </c>
      <c r="C71" s="184" t="s">
        <v>242</v>
      </c>
      <c r="D71" s="112" t="s">
        <v>144</v>
      </c>
      <c r="E71" s="133" t="s">
        <v>181</v>
      </c>
      <c r="F71" s="133" t="s">
        <v>181</v>
      </c>
      <c r="G71" s="133" t="s">
        <v>181</v>
      </c>
      <c r="H71" s="133" t="s">
        <v>181</v>
      </c>
      <c r="I71" s="133" t="s">
        <v>181</v>
      </c>
      <c r="J71" s="134"/>
      <c r="K71" s="133" t="s">
        <v>181</v>
      </c>
      <c r="L71" s="133" t="s">
        <v>181</v>
      </c>
      <c r="M71" s="133" t="s">
        <v>181</v>
      </c>
      <c r="N71" s="133" t="s">
        <v>181</v>
      </c>
      <c r="O71" s="133" t="s">
        <v>181</v>
      </c>
      <c r="P71" s="114"/>
      <c r="Q71" s="133">
        <v>7.0000000000000007E-2</v>
      </c>
      <c r="R71" s="133">
        <v>7.0000000000000007E-2</v>
      </c>
      <c r="S71" s="133"/>
      <c r="T71" s="133"/>
      <c r="U71" s="133"/>
      <c r="W71" s="133">
        <v>0.12</v>
      </c>
      <c r="X71" s="133">
        <v>0.12</v>
      </c>
      <c r="Y71" s="133">
        <v>0.12</v>
      </c>
      <c r="Z71" s="133">
        <v>0.12</v>
      </c>
      <c r="AA71" s="133">
        <v>0.12</v>
      </c>
      <c r="AC71" s="133">
        <v>0.15</v>
      </c>
      <c r="AD71" s="133">
        <v>0.15</v>
      </c>
      <c r="AE71" s="133">
        <v>0.15</v>
      </c>
      <c r="AF71" s="133">
        <v>0.15</v>
      </c>
      <c r="AG71" s="133">
        <v>0.15</v>
      </c>
      <c r="AH71" s="108" t="s">
        <v>2</v>
      </c>
    </row>
    <row r="72" spans="2:34" ht="14.1" customHeight="1">
      <c r="B72" s="170"/>
      <c r="C72" s="184"/>
      <c r="D72" s="112" t="s">
        <v>210</v>
      </c>
      <c r="E72" s="133" t="s">
        <v>181</v>
      </c>
      <c r="F72" s="133" t="s">
        <v>181</v>
      </c>
      <c r="G72" s="133" t="s">
        <v>181</v>
      </c>
      <c r="H72" s="133" t="s">
        <v>181</v>
      </c>
      <c r="I72" s="133" t="s">
        <v>181</v>
      </c>
      <c r="J72" s="134"/>
      <c r="K72" s="133" t="s">
        <v>181</v>
      </c>
      <c r="L72" s="133" t="s">
        <v>181</v>
      </c>
      <c r="M72" s="133" t="s">
        <v>181</v>
      </c>
      <c r="N72" s="133" t="s">
        <v>181</v>
      </c>
      <c r="O72" s="133" t="s">
        <v>181</v>
      </c>
      <c r="P72" s="114"/>
      <c r="Q72" s="133">
        <v>7.0000000000000007E-2</v>
      </c>
      <c r="R72" s="133">
        <v>7.0000000000000007E-2</v>
      </c>
      <c r="S72" s="133"/>
      <c r="T72" s="133"/>
      <c r="U72" s="133"/>
      <c r="W72" s="133">
        <v>0.12</v>
      </c>
      <c r="X72" s="133">
        <v>0.12</v>
      </c>
      <c r="Y72" s="133">
        <v>0.12</v>
      </c>
      <c r="Z72" s="133">
        <v>0.12</v>
      </c>
      <c r="AA72" s="133">
        <v>0.12</v>
      </c>
      <c r="AC72" s="133">
        <v>0.15</v>
      </c>
      <c r="AD72" s="133">
        <v>0.15</v>
      </c>
      <c r="AE72" s="133">
        <v>0.15</v>
      </c>
      <c r="AF72" s="133">
        <v>0.15</v>
      </c>
      <c r="AG72" s="133">
        <v>0.15</v>
      </c>
      <c r="AH72" s="108" t="s">
        <v>2</v>
      </c>
    </row>
    <row r="73" spans="2:34" ht="14.1" customHeight="1">
      <c r="B73" s="170" t="s">
        <v>229</v>
      </c>
      <c r="C73" s="171" t="s">
        <v>156</v>
      </c>
      <c r="D73" s="112" t="s">
        <v>144</v>
      </c>
      <c r="E73" s="133" t="s">
        <v>181</v>
      </c>
      <c r="F73" s="133" t="s">
        <v>181</v>
      </c>
      <c r="G73" s="133" t="s">
        <v>181</v>
      </c>
      <c r="H73" s="133" t="s">
        <v>181</v>
      </c>
      <c r="I73" s="133" t="s">
        <v>181</v>
      </c>
      <c r="J73" s="134"/>
      <c r="K73" s="133" t="s">
        <v>181</v>
      </c>
      <c r="L73" s="133" t="s">
        <v>181</v>
      </c>
      <c r="M73" s="133" t="s">
        <v>181</v>
      </c>
      <c r="N73" s="133" t="s">
        <v>181</v>
      </c>
      <c r="O73" s="133" t="s">
        <v>181</v>
      </c>
      <c r="P73" s="114"/>
      <c r="Q73" s="133">
        <v>8</v>
      </c>
      <c r="R73" s="133">
        <v>8</v>
      </c>
      <c r="S73" s="133"/>
      <c r="T73" s="133"/>
      <c r="U73" s="133"/>
      <c r="W73" s="133">
        <v>6</v>
      </c>
      <c r="X73" s="133">
        <v>6</v>
      </c>
      <c r="Y73" s="133">
        <v>6</v>
      </c>
      <c r="Z73" s="133">
        <v>6</v>
      </c>
      <c r="AA73" s="133">
        <v>6</v>
      </c>
      <c r="AC73" s="133">
        <v>7</v>
      </c>
      <c r="AD73" s="133">
        <v>6</v>
      </c>
      <c r="AE73" s="133">
        <v>6</v>
      </c>
      <c r="AF73" s="133">
        <v>6</v>
      </c>
      <c r="AG73" s="133">
        <v>6</v>
      </c>
      <c r="AH73" s="108" t="s">
        <v>2</v>
      </c>
    </row>
    <row r="74" spans="2:34" ht="14.1" customHeight="1">
      <c r="B74" s="170"/>
      <c r="C74" s="171"/>
      <c r="D74" s="112" t="s">
        <v>210</v>
      </c>
      <c r="E74" s="133" t="s">
        <v>181</v>
      </c>
      <c r="F74" s="133" t="s">
        <v>181</v>
      </c>
      <c r="G74" s="133" t="s">
        <v>181</v>
      </c>
      <c r="H74" s="133" t="s">
        <v>181</v>
      </c>
      <c r="I74" s="133" t="s">
        <v>181</v>
      </c>
      <c r="J74" s="134"/>
      <c r="K74" s="133" t="s">
        <v>181</v>
      </c>
      <c r="L74" s="133" t="s">
        <v>181</v>
      </c>
      <c r="M74" s="133" t="s">
        <v>181</v>
      </c>
      <c r="N74" s="133" t="s">
        <v>181</v>
      </c>
      <c r="O74" s="133" t="s">
        <v>181</v>
      </c>
      <c r="P74" s="114"/>
      <c r="Q74" s="133">
        <v>8</v>
      </c>
      <c r="R74" s="133">
        <v>8</v>
      </c>
      <c r="S74" s="133"/>
      <c r="T74" s="133"/>
      <c r="U74" s="133"/>
      <c r="W74" s="133">
        <v>6</v>
      </c>
      <c r="X74" s="133">
        <v>6</v>
      </c>
      <c r="Y74" s="133">
        <v>6</v>
      </c>
      <c r="Z74" s="133">
        <v>6</v>
      </c>
      <c r="AA74" s="133">
        <v>6</v>
      </c>
      <c r="AC74" s="133">
        <v>7</v>
      </c>
      <c r="AD74" s="133">
        <v>6</v>
      </c>
      <c r="AE74" s="133">
        <v>6</v>
      </c>
      <c r="AF74" s="133">
        <v>6</v>
      </c>
      <c r="AG74" s="133">
        <v>6</v>
      </c>
      <c r="AH74" s="108" t="s">
        <v>2</v>
      </c>
    </row>
    <row r="75" spans="2:34" ht="14.1" customHeight="1">
      <c r="B75" s="170" t="s">
        <v>230</v>
      </c>
      <c r="C75" s="184" t="s">
        <v>158</v>
      </c>
      <c r="D75" s="112" t="s">
        <v>144</v>
      </c>
      <c r="E75" s="133" t="s">
        <v>181</v>
      </c>
      <c r="F75" s="133" t="s">
        <v>181</v>
      </c>
      <c r="G75" s="133" t="s">
        <v>181</v>
      </c>
      <c r="H75" s="133" t="s">
        <v>181</v>
      </c>
      <c r="I75" s="133" t="s">
        <v>181</v>
      </c>
      <c r="J75" s="134"/>
      <c r="K75" s="133" t="s">
        <v>181</v>
      </c>
      <c r="L75" s="133" t="s">
        <v>181</v>
      </c>
      <c r="M75" s="133" t="s">
        <v>181</v>
      </c>
      <c r="N75" s="133" t="s">
        <v>181</v>
      </c>
      <c r="O75" s="133" t="s">
        <v>181</v>
      </c>
      <c r="P75" s="114"/>
      <c r="Q75" s="133">
        <v>8</v>
      </c>
      <c r="R75" s="133">
        <v>8</v>
      </c>
      <c r="S75" s="133"/>
      <c r="T75" s="133"/>
      <c r="U75" s="133"/>
      <c r="W75" s="133">
        <v>6</v>
      </c>
      <c r="X75" s="133">
        <v>6</v>
      </c>
      <c r="Y75" s="133">
        <v>6</v>
      </c>
      <c r="Z75" s="133">
        <v>6</v>
      </c>
      <c r="AA75" s="133">
        <v>6</v>
      </c>
      <c r="AC75" s="133">
        <v>6</v>
      </c>
      <c r="AD75" s="133">
        <v>6</v>
      </c>
      <c r="AE75" s="133">
        <v>6</v>
      </c>
      <c r="AF75" s="133">
        <v>6</v>
      </c>
      <c r="AG75" s="133">
        <v>6</v>
      </c>
      <c r="AH75" s="108" t="s">
        <v>2</v>
      </c>
    </row>
    <row r="76" spans="2:34" ht="14.1" customHeight="1">
      <c r="B76" s="170"/>
      <c r="C76" s="184"/>
      <c r="D76" s="112" t="s">
        <v>210</v>
      </c>
      <c r="E76" s="133" t="s">
        <v>181</v>
      </c>
      <c r="F76" s="133" t="s">
        <v>181</v>
      </c>
      <c r="G76" s="133" t="s">
        <v>181</v>
      </c>
      <c r="H76" s="133" t="s">
        <v>181</v>
      </c>
      <c r="I76" s="133" t="s">
        <v>181</v>
      </c>
      <c r="J76" s="134"/>
      <c r="K76" s="133" t="s">
        <v>181</v>
      </c>
      <c r="L76" s="133" t="s">
        <v>181</v>
      </c>
      <c r="M76" s="133" t="s">
        <v>181</v>
      </c>
      <c r="N76" s="133" t="s">
        <v>181</v>
      </c>
      <c r="O76" s="133" t="s">
        <v>181</v>
      </c>
      <c r="P76" s="114"/>
      <c r="Q76" s="133">
        <v>8</v>
      </c>
      <c r="R76" s="133">
        <v>8</v>
      </c>
      <c r="S76" s="133"/>
      <c r="T76" s="133"/>
      <c r="U76" s="133"/>
      <c r="W76" s="133">
        <v>6</v>
      </c>
      <c r="X76" s="133">
        <v>6</v>
      </c>
      <c r="Y76" s="133">
        <v>6</v>
      </c>
      <c r="Z76" s="133">
        <v>6</v>
      </c>
      <c r="AA76" s="133">
        <v>6</v>
      </c>
      <c r="AC76" s="133">
        <v>6</v>
      </c>
      <c r="AD76" s="133">
        <v>6</v>
      </c>
      <c r="AE76" s="133">
        <v>6</v>
      </c>
      <c r="AF76" s="133">
        <v>6</v>
      </c>
      <c r="AG76" s="133">
        <v>6</v>
      </c>
      <c r="AH76" s="108" t="s">
        <v>2</v>
      </c>
    </row>
    <row r="77" spans="2:34" ht="14.1" customHeight="1">
      <c r="B77" s="170" t="s">
        <v>231</v>
      </c>
      <c r="C77" s="184" t="s">
        <v>160</v>
      </c>
      <c r="D77" s="112" t="s">
        <v>144</v>
      </c>
      <c r="E77" s="133" t="s">
        <v>181</v>
      </c>
      <c r="F77" s="133" t="s">
        <v>181</v>
      </c>
      <c r="G77" s="133" t="s">
        <v>181</v>
      </c>
      <c r="H77" s="133" t="s">
        <v>181</v>
      </c>
      <c r="I77" s="133" t="s">
        <v>181</v>
      </c>
      <c r="J77" s="134"/>
      <c r="K77" s="133" t="s">
        <v>181</v>
      </c>
      <c r="L77" s="133" t="s">
        <v>181</v>
      </c>
      <c r="M77" s="133" t="s">
        <v>181</v>
      </c>
      <c r="N77" s="133" t="s">
        <v>181</v>
      </c>
      <c r="O77" s="133" t="s">
        <v>181</v>
      </c>
      <c r="P77" s="114"/>
      <c r="Q77" s="133">
        <v>28</v>
      </c>
      <c r="R77" s="133">
        <v>28</v>
      </c>
      <c r="S77" s="133"/>
      <c r="T77" s="133"/>
      <c r="U77" s="133"/>
      <c r="W77" s="133">
        <v>28</v>
      </c>
      <c r="X77" s="133">
        <v>28</v>
      </c>
      <c r="Y77" s="133">
        <v>28</v>
      </c>
      <c r="Z77" s="133">
        <v>28</v>
      </c>
      <c r="AA77" s="133">
        <v>28</v>
      </c>
      <c r="AC77" s="133">
        <v>25</v>
      </c>
      <c r="AD77" s="133">
        <v>25</v>
      </c>
      <c r="AE77" s="133">
        <v>25</v>
      </c>
      <c r="AF77" s="133">
        <v>25</v>
      </c>
      <c r="AG77" s="133">
        <v>25</v>
      </c>
      <c r="AH77" s="108" t="s">
        <v>2</v>
      </c>
    </row>
    <row r="78" spans="2:34" ht="14.1" customHeight="1">
      <c r="B78" s="170"/>
      <c r="C78" s="184"/>
      <c r="D78" s="112" t="s">
        <v>210</v>
      </c>
      <c r="E78" s="133" t="s">
        <v>181</v>
      </c>
      <c r="F78" s="133" t="s">
        <v>181</v>
      </c>
      <c r="G78" s="133" t="s">
        <v>181</v>
      </c>
      <c r="H78" s="133" t="s">
        <v>181</v>
      </c>
      <c r="I78" s="133" t="s">
        <v>181</v>
      </c>
      <c r="J78" s="134"/>
      <c r="K78" s="133" t="s">
        <v>181</v>
      </c>
      <c r="L78" s="133" t="s">
        <v>181</v>
      </c>
      <c r="M78" s="133" t="s">
        <v>181</v>
      </c>
      <c r="N78" s="133" t="s">
        <v>181</v>
      </c>
      <c r="O78" s="133" t="s">
        <v>181</v>
      </c>
      <c r="P78" s="114"/>
      <c r="Q78" s="133">
        <v>28</v>
      </c>
      <c r="R78" s="133">
        <v>28</v>
      </c>
      <c r="S78" s="133"/>
      <c r="T78" s="133"/>
      <c r="U78" s="133"/>
      <c r="W78" s="133">
        <v>28</v>
      </c>
      <c r="X78" s="133">
        <v>28</v>
      </c>
      <c r="Y78" s="133">
        <v>28</v>
      </c>
      <c r="Z78" s="133">
        <v>28</v>
      </c>
      <c r="AA78" s="133">
        <v>28</v>
      </c>
      <c r="AC78" s="133">
        <v>25</v>
      </c>
      <c r="AD78" s="133">
        <v>25</v>
      </c>
      <c r="AE78" s="133">
        <v>25</v>
      </c>
      <c r="AF78" s="133">
        <v>25</v>
      </c>
      <c r="AG78" s="133">
        <v>25</v>
      </c>
      <c r="AH78" s="108" t="s">
        <v>2</v>
      </c>
    </row>
    <row r="79" spans="2:34" ht="14.1" customHeight="1">
      <c r="B79" s="170" t="s">
        <v>313</v>
      </c>
      <c r="C79" s="171" t="s">
        <v>161</v>
      </c>
      <c r="D79" s="112" t="s">
        <v>144</v>
      </c>
      <c r="E79" s="133" t="s">
        <v>181</v>
      </c>
      <c r="F79" s="133" t="s">
        <v>181</v>
      </c>
      <c r="G79" s="133" t="s">
        <v>181</v>
      </c>
      <c r="H79" s="133" t="s">
        <v>181</v>
      </c>
      <c r="I79" s="133" t="s">
        <v>181</v>
      </c>
      <c r="J79" s="134"/>
      <c r="K79" s="133" t="s">
        <v>181</v>
      </c>
      <c r="L79" s="133" t="s">
        <v>181</v>
      </c>
      <c r="M79" s="133" t="s">
        <v>181</v>
      </c>
      <c r="N79" s="133" t="s">
        <v>181</v>
      </c>
      <c r="O79" s="133" t="s">
        <v>181</v>
      </c>
      <c r="P79" s="114"/>
      <c r="Q79" s="133">
        <v>8</v>
      </c>
      <c r="R79" s="133">
        <v>8</v>
      </c>
      <c r="S79" s="133"/>
      <c r="T79" s="133"/>
      <c r="U79" s="133"/>
      <c r="W79" s="133">
        <v>6</v>
      </c>
      <c r="X79" s="133">
        <v>6</v>
      </c>
      <c r="Y79" s="133">
        <v>6</v>
      </c>
      <c r="Z79" s="133">
        <v>6</v>
      </c>
      <c r="AA79" s="133">
        <v>6</v>
      </c>
      <c r="AC79" s="133">
        <v>8</v>
      </c>
      <c r="AD79" s="133">
        <v>6</v>
      </c>
      <c r="AE79" s="133">
        <v>6</v>
      </c>
      <c r="AF79" s="133">
        <v>6</v>
      </c>
      <c r="AG79" s="133">
        <v>6</v>
      </c>
      <c r="AH79" s="108" t="s">
        <v>2</v>
      </c>
    </row>
    <row r="80" spans="2:34" ht="14.1" customHeight="1">
      <c r="B80" s="170"/>
      <c r="C80" s="171"/>
      <c r="D80" s="112" t="s">
        <v>210</v>
      </c>
      <c r="E80" s="133" t="s">
        <v>181</v>
      </c>
      <c r="F80" s="133" t="s">
        <v>181</v>
      </c>
      <c r="G80" s="133" t="s">
        <v>181</v>
      </c>
      <c r="H80" s="133" t="s">
        <v>181</v>
      </c>
      <c r="I80" s="133" t="s">
        <v>181</v>
      </c>
      <c r="J80" s="134"/>
      <c r="K80" s="133" t="s">
        <v>181</v>
      </c>
      <c r="L80" s="133" t="s">
        <v>181</v>
      </c>
      <c r="M80" s="133" t="s">
        <v>181</v>
      </c>
      <c r="N80" s="133" t="s">
        <v>181</v>
      </c>
      <c r="O80" s="133" t="s">
        <v>181</v>
      </c>
      <c r="P80" s="114"/>
      <c r="Q80" s="133">
        <v>8</v>
      </c>
      <c r="R80" s="133">
        <v>8</v>
      </c>
      <c r="S80" s="133"/>
      <c r="T80" s="133"/>
      <c r="U80" s="133"/>
      <c r="W80" s="133">
        <v>6</v>
      </c>
      <c r="X80" s="133">
        <v>6</v>
      </c>
      <c r="Y80" s="133">
        <v>6</v>
      </c>
      <c r="Z80" s="133">
        <v>6</v>
      </c>
      <c r="AA80" s="133">
        <v>6</v>
      </c>
      <c r="AC80" s="133">
        <v>8</v>
      </c>
      <c r="AD80" s="133">
        <v>6</v>
      </c>
      <c r="AE80" s="133">
        <v>6</v>
      </c>
      <c r="AF80" s="133">
        <v>6</v>
      </c>
      <c r="AG80" s="133">
        <v>6</v>
      </c>
      <c r="AH80" s="108" t="s">
        <v>2</v>
      </c>
    </row>
    <row r="81" spans="2:34" ht="13.5" customHeight="1">
      <c r="B81" s="170" t="s">
        <v>251</v>
      </c>
      <c r="C81" s="171" t="s">
        <v>245</v>
      </c>
      <c r="D81" s="112" t="s">
        <v>144</v>
      </c>
      <c r="E81" s="133" t="s">
        <v>181</v>
      </c>
      <c r="F81" s="133" t="s">
        <v>181</v>
      </c>
      <c r="G81" s="133" t="s">
        <v>181</v>
      </c>
      <c r="H81" s="133" t="s">
        <v>181</v>
      </c>
      <c r="I81" s="133" t="s">
        <v>181</v>
      </c>
      <c r="J81" s="134"/>
      <c r="K81" s="133" t="s">
        <v>181</v>
      </c>
      <c r="L81" s="133" t="s">
        <v>181</v>
      </c>
      <c r="M81" s="133" t="s">
        <v>181</v>
      </c>
      <c r="N81" s="133" t="s">
        <v>181</v>
      </c>
      <c r="O81" s="133" t="s">
        <v>181</v>
      </c>
      <c r="P81" s="114"/>
      <c r="Q81" s="133">
        <v>0.03</v>
      </c>
      <c r="R81" s="133">
        <v>0.03</v>
      </c>
      <c r="S81" s="133"/>
      <c r="T81" s="133"/>
      <c r="U81" s="133"/>
      <c r="W81" s="133">
        <v>0.1</v>
      </c>
      <c r="X81" s="133">
        <v>0.1</v>
      </c>
      <c r="Y81" s="133">
        <v>0.1</v>
      </c>
      <c r="Z81" s="133">
        <v>0.1</v>
      </c>
      <c r="AA81" s="133">
        <v>0.1</v>
      </c>
      <c r="AC81" s="133">
        <v>0.05</v>
      </c>
      <c r="AD81" s="133">
        <v>0.05</v>
      </c>
      <c r="AE81" s="133">
        <v>0.05</v>
      </c>
      <c r="AF81" s="133">
        <v>0.05</v>
      </c>
      <c r="AG81" s="133">
        <v>0.05</v>
      </c>
      <c r="AH81" s="108" t="s">
        <v>2</v>
      </c>
    </row>
    <row r="82" spans="2:34" ht="14.1" customHeight="1">
      <c r="B82" s="170"/>
      <c r="C82" s="171"/>
      <c r="D82" s="112" t="s">
        <v>210</v>
      </c>
      <c r="E82" s="133" t="s">
        <v>181</v>
      </c>
      <c r="F82" s="133" t="s">
        <v>181</v>
      </c>
      <c r="G82" s="133" t="s">
        <v>181</v>
      </c>
      <c r="H82" s="133" t="s">
        <v>181</v>
      </c>
      <c r="I82" s="133" t="s">
        <v>181</v>
      </c>
      <c r="J82" s="134"/>
      <c r="K82" s="133" t="s">
        <v>181</v>
      </c>
      <c r="L82" s="133" t="s">
        <v>181</v>
      </c>
      <c r="M82" s="133" t="s">
        <v>181</v>
      </c>
      <c r="N82" s="133" t="s">
        <v>181</v>
      </c>
      <c r="O82" s="133" t="s">
        <v>181</v>
      </c>
      <c r="P82" s="114"/>
      <c r="Q82" s="133">
        <v>0.03</v>
      </c>
      <c r="R82" s="133">
        <v>0.03</v>
      </c>
      <c r="S82" s="133"/>
      <c r="T82" s="133"/>
      <c r="U82" s="133"/>
      <c r="W82" s="133">
        <v>0.1</v>
      </c>
      <c r="X82" s="133">
        <v>0.1</v>
      </c>
      <c r="Y82" s="133">
        <v>0.1</v>
      </c>
      <c r="Z82" s="133">
        <v>0.1</v>
      </c>
      <c r="AA82" s="133">
        <v>0.1</v>
      </c>
      <c r="AC82" s="133">
        <v>0.05</v>
      </c>
      <c r="AD82" s="133">
        <v>0.05</v>
      </c>
      <c r="AE82" s="133">
        <v>0.05</v>
      </c>
      <c r="AF82" s="133">
        <v>0.05</v>
      </c>
      <c r="AG82" s="133">
        <v>0.05</v>
      </c>
      <c r="AH82" s="108" t="s">
        <v>2</v>
      </c>
    </row>
    <row r="83" spans="2:34" ht="14.1" customHeight="1">
      <c r="B83" s="170" t="s">
        <v>252</v>
      </c>
      <c r="C83" s="171" t="s">
        <v>248</v>
      </c>
      <c r="D83" s="112" t="s">
        <v>144</v>
      </c>
      <c r="E83" s="133" t="s">
        <v>181</v>
      </c>
      <c r="F83" s="133" t="s">
        <v>181</v>
      </c>
      <c r="G83" s="133" t="s">
        <v>181</v>
      </c>
      <c r="H83" s="133" t="s">
        <v>181</v>
      </c>
      <c r="I83" s="133" t="s">
        <v>181</v>
      </c>
      <c r="J83" s="134"/>
      <c r="K83" s="133" t="s">
        <v>181</v>
      </c>
      <c r="L83" s="133" t="s">
        <v>181</v>
      </c>
      <c r="M83" s="133" t="s">
        <v>181</v>
      </c>
      <c r="N83" s="133" t="s">
        <v>181</v>
      </c>
      <c r="O83" s="133" t="s">
        <v>181</v>
      </c>
      <c r="P83" s="114"/>
      <c r="Q83" s="133">
        <v>1.4999999999999999E-2</v>
      </c>
      <c r="R83" s="133">
        <v>1.4999999999999999E-2</v>
      </c>
      <c r="S83" s="133"/>
      <c r="T83" s="133"/>
      <c r="U83" s="133"/>
      <c r="W83" s="133">
        <v>1.4999999999999999E-2</v>
      </c>
      <c r="X83" s="133">
        <v>1.4999999999999999E-2</v>
      </c>
      <c r="Y83" s="133">
        <v>1.4999999999999999E-2</v>
      </c>
      <c r="Z83" s="133">
        <v>1.4999999999999999E-2</v>
      </c>
      <c r="AA83" s="133">
        <v>1.4999999999999999E-2</v>
      </c>
      <c r="AC83" s="133">
        <v>0.1</v>
      </c>
      <c r="AD83" s="133">
        <v>0.1</v>
      </c>
      <c r="AE83" s="133">
        <v>0.1</v>
      </c>
      <c r="AF83" s="133">
        <v>0.1</v>
      </c>
      <c r="AG83" s="133">
        <v>0.1</v>
      </c>
      <c r="AH83" s="108" t="s">
        <v>2</v>
      </c>
    </row>
    <row r="84" spans="2:34" ht="14.1" customHeight="1">
      <c r="B84" s="170"/>
      <c r="C84" s="171"/>
      <c r="D84" s="112" t="s">
        <v>210</v>
      </c>
      <c r="E84" s="133" t="s">
        <v>181</v>
      </c>
      <c r="F84" s="133" t="s">
        <v>181</v>
      </c>
      <c r="G84" s="133" t="s">
        <v>181</v>
      </c>
      <c r="H84" s="133" t="s">
        <v>181</v>
      </c>
      <c r="I84" s="133" t="s">
        <v>181</v>
      </c>
      <c r="J84" s="134"/>
      <c r="K84" s="133" t="s">
        <v>181</v>
      </c>
      <c r="L84" s="133" t="s">
        <v>181</v>
      </c>
      <c r="M84" s="133" t="s">
        <v>181</v>
      </c>
      <c r="N84" s="133" t="s">
        <v>181</v>
      </c>
      <c r="O84" s="133" t="s">
        <v>181</v>
      </c>
      <c r="P84" s="114"/>
      <c r="Q84" s="133">
        <v>1.4999999999999999E-2</v>
      </c>
      <c r="R84" s="133">
        <v>1.4999999999999999E-2</v>
      </c>
      <c r="S84" s="133"/>
      <c r="T84" s="133"/>
      <c r="U84" s="133"/>
      <c r="W84" s="133">
        <v>1.4999999999999999E-2</v>
      </c>
      <c r="X84" s="133">
        <v>1.4999999999999999E-2</v>
      </c>
      <c r="Y84" s="133">
        <v>1.4999999999999999E-2</v>
      </c>
      <c r="Z84" s="133">
        <v>1.4999999999999999E-2</v>
      </c>
      <c r="AA84" s="133">
        <v>1.4999999999999999E-2</v>
      </c>
      <c r="AC84" s="133">
        <v>0.1</v>
      </c>
      <c r="AD84" s="133">
        <v>0.1</v>
      </c>
      <c r="AE84" s="133">
        <v>0.1</v>
      </c>
      <c r="AF84" s="133">
        <v>0.1</v>
      </c>
      <c r="AG84" s="133">
        <v>0.1</v>
      </c>
      <c r="AH84" s="108" t="s">
        <v>2</v>
      </c>
    </row>
    <row r="85" spans="2:34" ht="13.8">
      <c r="B85" s="176"/>
      <c r="C85" s="177"/>
      <c r="D85" s="178"/>
      <c r="E85" s="115"/>
      <c r="F85" s="115"/>
      <c r="G85" s="115"/>
      <c r="H85" s="116"/>
      <c r="I85" s="117"/>
      <c r="J85" s="113"/>
      <c r="K85" s="115"/>
      <c r="L85" s="115"/>
      <c r="M85" s="115"/>
      <c r="N85" s="116"/>
      <c r="O85" s="117"/>
      <c r="P85" s="114"/>
      <c r="Q85" s="115"/>
      <c r="R85" s="115"/>
      <c r="S85" s="115"/>
      <c r="T85" s="116"/>
      <c r="U85" s="117"/>
      <c r="W85" s="115"/>
      <c r="X85" s="167"/>
      <c r="Y85" s="167"/>
      <c r="Z85" s="116"/>
      <c r="AA85" s="117"/>
      <c r="AC85" s="115"/>
      <c r="AD85" s="115"/>
      <c r="AE85" s="115"/>
      <c r="AF85" s="116"/>
      <c r="AG85" s="117"/>
      <c r="AH85" s="111"/>
    </row>
    <row r="86" spans="2:34" ht="18" customHeight="1">
      <c r="B86" s="93"/>
      <c r="C86" s="179" t="s">
        <v>162</v>
      </c>
      <c r="D86" s="179"/>
      <c r="E86" s="133">
        <v>1.875</v>
      </c>
      <c r="F86" s="133">
        <v>2.5</v>
      </c>
      <c r="G86" s="133">
        <v>3</v>
      </c>
      <c r="H86" s="133">
        <v>3.75</v>
      </c>
      <c r="I86" s="133">
        <v>5</v>
      </c>
      <c r="J86" s="113"/>
      <c r="K86" s="133">
        <v>1.875</v>
      </c>
      <c r="L86" s="133">
        <v>2.5</v>
      </c>
      <c r="M86" s="133">
        <v>3</v>
      </c>
      <c r="N86" s="133">
        <v>3.75</v>
      </c>
      <c r="O86" s="133">
        <v>5</v>
      </c>
      <c r="P86" s="113"/>
      <c r="Q86" s="133">
        <v>1.875</v>
      </c>
      <c r="R86" s="133">
        <v>2.5</v>
      </c>
      <c r="S86" s="133"/>
      <c r="T86" s="133"/>
      <c r="U86" s="133"/>
      <c r="W86" s="133">
        <v>1.875</v>
      </c>
      <c r="X86" s="133">
        <v>2.5</v>
      </c>
      <c r="Y86" s="133">
        <v>3</v>
      </c>
      <c r="Z86" s="133">
        <v>3.75</v>
      </c>
      <c r="AA86" s="133">
        <v>5</v>
      </c>
      <c r="AC86" s="133">
        <v>1.875</v>
      </c>
      <c r="AD86" s="133">
        <v>2.5</v>
      </c>
      <c r="AE86" s="133">
        <v>3</v>
      </c>
      <c r="AF86" s="133">
        <v>3.75</v>
      </c>
      <c r="AG86" s="133">
        <v>5</v>
      </c>
      <c r="AH86" s="108" t="s">
        <v>14</v>
      </c>
    </row>
    <row r="87" spans="2:34" ht="14.1" customHeight="1">
      <c r="B87" s="180" t="s">
        <v>163</v>
      </c>
      <c r="C87" s="182" t="s">
        <v>70</v>
      </c>
      <c r="D87" s="112" t="s">
        <v>144</v>
      </c>
      <c r="E87" s="133">
        <v>10</v>
      </c>
      <c r="F87" s="133">
        <v>10</v>
      </c>
      <c r="G87" s="133">
        <v>10</v>
      </c>
      <c r="H87" s="133">
        <v>10</v>
      </c>
      <c r="I87" s="133">
        <v>10</v>
      </c>
      <c r="J87" s="113"/>
      <c r="K87" s="133">
        <v>10</v>
      </c>
      <c r="L87" s="133">
        <v>10</v>
      </c>
      <c r="M87" s="133">
        <v>10</v>
      </c>
      <c r="N87" s="133">
        <v>10</v>
      </c>
      <c r="O87" s="133">
        <v>10</v>
      </c>
      <c r="P87" s="113"/>
      <c r="Q87" s="133">
        <v>10</v>
      </c>
      <c r="R87" s="133">
        <v>10</v>
      </c>
      <c r="S87" s="133"/>
      <c r="T87" s="133"/>
      <c r="U87" s="133"/>
      <c r="W87" s="133">
        <v>10</v>
      </c>
      <c r="X87" s="133">
        <v>10</v>
      </c>
      <c r="Y87" s="133">
        <v>10</v>
      </c>
      <c r="Z87" s="133">
        <v>10</v>
      </c>
      <c r="AA87" s="133">
        <v>10</v>
      </c>
      <c r="AC87" s="133">
        <v>10</v>
      </c>
      <c r="AD87" s="133">
        <v>10</v>
      </c>
      <c r="AE87" s="133">
        <v>10</v>
      </c>
      <c r="AF87" s="133">
        <v>10</v>
      </c>
      <c r="AG87" s="133">
        <v>10</v>
      </c>
      <c r="AH87" s="108" t="s">
        <v>14</v>
      </c>
    </row>
    <row r="88" spans="2:34" ht="14.1" customHeight="1">
      <c r="B88" s="181"/>
      <c r="C88" s="183"/>
      <c r="D88" s="112" t="s">
        <v>210</v>
      </c>
      <c r="E88" s="133">
        <v>10</v>
      </c>
      <c r="F88" s="133">
        <v>10</v>
      </c>
      <c r="G88" s="133">
        <v>10</v>
      </c>
      <c r="H88" s="133">
        <v>10</v>
      </c>
      <c r="I88" s="133">
        <v>10</v>
      </c>
      <c r="J88" s="113"/>
      <c r="K88" s="133">
        <v>10</v>
      </c>
      <c r="L88" s="133">
        <v>10</v>
      </c>
      <c r="M88" s="133">
        <v>10</v>
      </c>
      <c r="N88" s="133">
        <v>10</v>
      </c>
      <c r="O88" s="133">
        <v>10</v>
      </c>
      <c r="P88" s="113"/>
      <c r="Q88" s="133">
        <v>10</v>
      </c>
      <c r="R88" s="133">
        <v>10</v>
      </c>
      <c r="S88" s="133"/>
      <c r="T88" s="133"/>
      <c r="U88" s="133"/>
      <c r="W88" s="133">
        <v>10</v>
      </c>
      <c r="X88" s="133">
        <v>10</v>
      </c>
      <c r="Y88" s="133">
        <v>10</v>
      </c>
      <c r="Z88" s="133">
        <v>10</v>
      </c>
      <c r="AA88" s="133">
        <v>10</v>
      </c>
      <c r="AC88" s="133">
        <v>10</v>
      </c>
      <c r="AD88" s="133">
        <v>10</v>
      </c>
      <c r="AE88" s="133">
        <v>10</v>
      </c>
      <c r="AF88" s="133">
        <v>10</v>
      </c>
      <c r="AG88" s="133">
        <v>10</v>
      </c>
      <c r="AH88" s="108" t="s">
        <v>14</v>
      </c>
    </row>
    <row r="89" spans="2:34" ht="18" customHeight="1">
      <c r="B89" s="97" t="s">
        <v>164</v>
      </c>
      <c r="C89" s="184" t="s">
        <v>165</v>
      </c>
      <c r="D89" s="184"/>
      <c r="E89" s="133">
        <v>60</v>
      </c>
      <c r="F89" s="133">
        <v>60</v>
      </c>
      <c r="G89" s="133">
        <v>60</v>
      </c>
      <c r="H89" s="133">
        <v>60</v>
      </c>
      <c r="I89" s="133">
        <v>60</v>
      </c>
      <c r="J89" s="113"/>
      <c r="K89" s="133">
        <v>60</v>
      </c>
      <c r="L89" s="133">
        <v>60</v>
      </c>
      <c r="M89" s="133">
        <v>60</v>
      </c>
      <c r="N89" s="133">
        <v>60</v>
      </c>
      <c r="O89" s="133">
        <v>60</v>
      </c>
      <c r="P89" s="113"/>
      <c r="Q89" s="133">
        <v>60</v>
      </c>
      <c r="R89" s="133">
        <v>60</v>
      </c>
      <c r="S89" s="133"/>
      <c r="T89" s="133"/>
      <c r="U89" s="133"/>
      <c r="W89" s="133">
        <v>60</v>
      </c>
      <c r="X89" s="133">
        <v>60</v>
      </c>
      <c r="Y89" s="133">
        <v>60</v>
      </c>
      <c r="Z89" s="133">
        <v>60</v>
      </c>
      <c r="AA89" s="133">
        <v>60</v>
      </c>
      <c r="AC89" s="133">
        <v>60</v>
      </c>
      <c r="AD89" s="133">
        <v>60</v>
      </c>
      <c r="AE89" s="133">
        <v>60</v>
      </c>
      <c r="AF89" s="133">
        <v>60</v>
      </c>
      <c r="AG89" s="133">
        <v>60</v>
      </c>
      <c r="AH89" s="108" t="s">
        <v>14</v>
      </c>
    </row>
    <row r="90" spans="2:34" ht="18" customHeight="1">
      <c r="B90" s="97" t="s">
        <v>166</v>
      </c>
      <c r="C90" s="179" t="s">
        <v>167</v>
      </c>
      <c r="D90" s="184"/>
      <c r="E90" s="133">
        <v>42</v>
      </c>
      <c r="F90" s="133">
        <v>42</v>
      </c>
      <c r="G90" s="133">
        <v>42</v>
      </c>
      <c r="H90" s="133">
        <v>42</v>
      </c>
      <c r="I90" s="133">
        <v>42</v>
      </c>
      <c r="J90" s="113"/>
      <c r="K90" s="133">
        <v>42</v>
      </c>
      <c r="L90" s="133">
        <v>42</v>
      </c>
      <c r="M90" s="133">
        <v>42</v>
      </c>
      <c r="N90" s="133">
        <v>42</v>
      </c>
      <c r="O90" s="133">
        <v>42</v>
      </c>
      <c r="P90" s="113"/>
      <c r="Q90" s="133">
        <v>42</v>
      </c>
      <c r="R90" s="133">
        <v>42</v>
      </c>
      <c r="S90" s="133"/>
      <c r="T90" s="133"/>
      <c r="U90" s="133"/>
      <c r="W90" s="133">
        <v>42</v>
      </c>
      <c r="X90" s="133">
        <v>42</v>
      </c>
      <c r="Y90" s="133">
        <v>42</v>
      </c>
      <c r="Z90" s="133">
        <v>42</v>
      </c>
      <c r="AA90" s="133">
        <v>42</v>
      </c>
      <c r="AC90" s="133">
        <v>42</v>
      </c>
      <c r="AD90" s="133">
        <v>42</v>
      </c>
      <c r="AE90" s="133">
        <v>42</v>
      </c>
      <c r="AF90" s="133">
        <v>42</v>
      </c>
      <c r="AG90" s="133">
        <v>42</v>
      </c>
      <c r="AH90" s="108" t="s">
        <v>14</v>
      </c>
    </row>
    <row r="91" spans="2:34" ht="18" customHeight="1">
      <c r="B91" s="97" t="s">
        <v>168</v>
      </c>
      <c r="C91" s="184" t="s">
        <v>169</v>
      </c>
      <c r="D91" s="184"/>
      <c r="E91" s="133">
        <v>90</v>
      </c>
      <c r="F91" s="133">
        <v>90</v>
      </c>
      <c r="G91" s="133">
        <v>90</v>
      </c>
      <c r="H91" s="133">
        <v>90</v>
      </c>
      <c r="I91" s="133">
        <v>90</v>
      </c>
      <c r="J91" s="107"/>
      <c r="K91" s="133">
        <v>90</v>
      </c>
      <c r="L91" s="133">
        <v>90</v>
      </c>
      <c r="M91" s="133">
        <v>90</v>
      </c>
      <c r="N91" s="133">
        <v>90</v>
      </c>
      <c r="O91" s="133">
        <v>90</v>
      </c>
      <c r="P91" s="107"/>
      <c r="Q91" s="133">
        <v>130</v>
      </c>
      <c r="R91" s="133">
        <v>130</v>
      </c>
      <c r="S91" s="133"/>
      <c r="T91" s="133"/>
      <c r="U91" s="133"/>
      <c r="W91" s="133">
        <v>130</v>
      </c>
      <c r="X91" s="133">
        <v>130</v>
      </c>
      <c r="Y91" s="133">
        <v>130</v>
      </c>
      <c r="Z91" s="133">
        <v>130</v>
      </c>
      <c r="AA91" s="133">
        <v>130</v>
      </c>
      <c r="AC91" s="133">
        <v>130</v>
      </c>
      <c r="AD91" s="133">
        <v>130</v>
      </c>
      <c r="AE91" s="133">
        <v>130</v>
      </c>
      <c r="AF91" s="133">
        <v>130</v>
      </c>
      <c r="AG91" s="133">
        <v>130</v>
      </c>
      <c r="AH91" s="108" t="s">
        <v>14</v>
      </c>
    </row>
    <row r="92" spans="2:34" ht="18" customHeight="1">
      <c r="B92" s="97" t="s">
        <v>170</v>
      </c>
      <c r="C92" s="184" t="s">
        <v>171</v>
      </c>
      <c r="D92" s="184"/>
      <c r="E92" s="133">
        <v>7.8</v>
      </c>
      <c r="F92" s="133">
        <v>7.8</v>
      </c>
      <c r="G92" s="133">
        <v>7.8</v>
      </c>
      <c r="H92" s="133">
        <v>7.8</v>
      </c>
      <c r="I92" s="133">
        <v>7.8</v>
      </c>
      <c r="J92" s="107"/>
      <c r="K92" s="133">
        <v>7.8</v>
      </c>
      <c r="L92" s="133">
        <v>7.8</v>
      </c>
      <c r="M92" s="133">
        <v>7.8</v>
      </c>
      <c r="N92" s="133">
        <v>7.8</v>
      </c>
      <c r="O92" s="133">
        <v>7.8</v>
      </c>
      <c r="P92" s="107"/>
      <c r="Q92" s="133">
        <v>7.8</v>
      </c>
      <c r="R92" s="133">
        <v>7.8</v>
      </c>
      <c r="S92" s="133"/>
      <c r="T92" s="133"/>
      <c r="U92" s="133"/>
      <c r="W92" s="133">
        <v>3.9</v>
      </c>
      <c r="X92" s="133">
        <v>3.9</v>
      </c>
      <c r="Y92" s="133">
        <v>3.9</v>
      </c>
      <c r="Z92" s="133">
        <v>3.9</v>
      </c>
      <c r="AA92" s="133">
        <v>3.9</v>
      </c>
      <c r="AC92" s="133">
        <v>3.9</v>
      </c>
      <c r="AD92" s="133">
        <v>3.9</v>
      </c>
      <c r="AE92" s="133">
        <v>3.9</v>
      </c>
      <c r="AF92" s="133">
        <v>3.9</v>
      </c>
      <c r="AG92" s="133">
        <v>3.9</v>
      </c>
      <c r="AH92" s="108" t="s">
        <v>172</v>
      </c>
    </row>
    <row r="93" spans="2:34" ht="18" customHeight="1">
      <c r="B93" s="97" t="s">
        <v>173</v>
      </c>
      <c r="C93" s="184" t="s">
        <v>174</v>
      </c>
      <c r="D93" s="184"/>
      <c r="E93" s="133">
        <v>1.875</v>
      </c>
      <c r="F93" s="133">
        <v>2.5</v>
      </c>
      <c r="G93" s="133">
        <v>3</v>
      </c>
      <c r="H93" s="133">
        <v>3.75</v>
      </c>
      <c r="I93" s="133">
        <v>5</v>
      </c>
      <c r="J93" s="107"/>
      <c r="K93" s="133">
        <v>1.875</v>
      </c>
      <c r="L93" s="133">
        <v>2.5</v>
      </c>
      <c r="M93" s="133">
        <v>3</v>
      </c>
      <c r="N93" s="133">
        <v>3.75</v>
      </c>
      <c r="O93" s="133">
        <v>5</v>
      </c>
      <c r="P93" s="107"/>
      <c r="Q93" s="133">
        <v>1.875</v>
      </c>
      <c r="R93" s="133">
        <v>2.5</v>
      </c>
      <c r="S93" s="133"/>
      <c r="T93" s="133"/>
      <c r="U93" s="133"/>
      <c r="W93" s="133">
        <v>1.875</v>
      </c>
      <c r="X93" s="133">
        <v>2.5</v>
      </c>
      <c r="Y93" s="133">
        <v>3</v>
      </c>
      <c r="Z93" s="133">
        <v>3.75</v>
      </c>
      <c r="AA93" s="133">
        <v>5</v>
      </c>
      <c r="AC93" s="133">
        <v>1.875</v>
      </c>
      <c r="AD93" s="133">
        <v>2.5</v>
      </c>
      <c r="AE93" s="133">
        <v>3</v>
      </c>
      <c r="AF93" s="133">
        <v>3.75</v>
      </c>
      <c r="AG93" s="133">
        <v>5</v>
      </c>
      <c r="AH93" s="108" t="s">
        <v>14</v>
      </c>
    </row>
    <row r="94" spans="2:34" ht="18" customHeight="1">
      <c r="B94" s="97" t="s">
        <v>183</v>
      </c>
      <c r="C94" s="184" t="s">
        <v>176</v>
      </c>
      <c r="D94" s="184"/>
      <c r="E94" s="133">
        <v>100</v>
      </c>
      <c r="F94" s="133">
        <v>100</v>
      </c>
      <c r="G94" s="133">
        <v>100</v>
      </c>
      <c r="H94" s="133">
        <v>100</v>
      </c>
      <c r="I94" s="133">
        <v>100</v>
      </c>
      <c r="J94" s="107"/>
      <c r="K94" s="133">
        <v>100</v>
      </c>
      <c r="L94" s="133">
        <v>100</v>
      </c>
      <c r="M94" s="133">
        <v>100</v>
      </c>
      <c r="N94" s="133">
        <v>100</v>
      </c>
      <c r="O94" s="133">
        <v>100</v>
      </c>
      <c r="P94" s="107"/>
      <c r="Q94" s="133">
        <v>100</v>
      </c>
      <c r="R94" s="133">
        <v>100</v>
      </c>
      <c r="S94" s="133"/>
      <c r="T94" s="133"/>
      <c r="U94" s="133"/>
      <c r="W94" s="133">
        <v>100</v>
      </c>
      <c r="X94" s="133">
        <v>100</v>
      </c>
      <c r="Y94" s="133">
        <v>100</v>
      </c>
      <c r="Z94" s="133">
        <v>100</v>
      </c>
      <c r="AA94" s="133">
        <v>100</v>
      </c>
      <c r="AC94" s="133">
        <v>100</v>
      </c>
      <c r="AD94" s="133">
        <v>100</v>
      </c>
      <c r="AE94" s="133">
        <v>100</v>
      </c>
      <c r="AF94" s="133">
        <v>100</v>
      </c>
      <c r="AG94" s="133">
        <v>100</v>
      </c>
      <c r="AH94" s="108" t="s">
        <v>14</v>
      </c>
    </row>
    <row r="95" spans="2:34" hidden="1">
      <c r="B95" s="118"/>
      <c r="C95" s="119"/>
      <c r="D95" s="118"/>
      <c r="E95" s="120"/>
      <c r="F95" s="120"/>
      <c r="G95" s="120"/>
      <c r="H95" s="120"/>
      <c r="I95" s="120"/>
      <c r="J95" s="120"/>
      <c r="K95" s="120"/>
      <c r="L95" s="120"/>
      <c r="M95" s="120"/>
      <c r="N95" s="120"/>
      <c r="O95" s="120"/>
      <c r="P95" s="120"/>
      <c r="Q95" s="139"/>
      <c r="R95" s="139"/>
      <c r="S95" s="139"/>
      <c r="T95" s="139"/>
      <c r="U95" s="139"/>
      <c r="AC95" s="105"/>
    </row>
    <row r="96" spans="2:34" hidden="1">
      <c r="B96" s="118"/>
      <c r="C96" s="119"/>
      <c r="D96" s="118"/>
      <c r="E96" s="120"/>
      <c r="F96" s="120"/>
      <c r="G96" s="120"/>
      <c r="H96" s="120"/>
      <c r="I96" s="120"/>
      <c r="J96" s="120"/>
      <c r="K96" s="120"/>
      <c r="L96" s="120"/>
      <c r="M96" s="120"/>
      <c r="N96" s="120"/>
      <c r="O96" s="120"/>
      <c r="P96" s="120"/>
      <c r="Q96" s="139"/>
      <c r="R96" s="139"/>
      <c r="S96" s="139"/>
      <c r="T96" s="139"/>
      <c r="U96" s="139"/>
      <c r="AC96" s="105"/>
    </row>
    <row r="97" spans="2:29" hidden="1">
      <c r="B97" s="118"/>
      <c r="C97" s="119"/>
      <c r="D97" s="118"/>
      <c r="E97" s="120"/>
      <c r="F97" s="120"/>
      <c r="G97" s="120"/>
      <c r="H97" s="189"/>
      <c r="I97" s="189"/>
      <c r="J97" s="120"/>
      <c r="K97" s="120"/>
      <c r="L97" s="120"/>
      <c r="M97" s="120"/>
      <c r="N97" s="120"/>
      <c r="O97" s="120"/>
      <c r="P97" s="120"/>
      <c r="Q97" s="140"/>
      <c r="R97" s="140"/>
      <c r="S97" s="140"/>
      <c r="T97" s="140"/>
      <c r="U97" s="140"/>
      <c r="AC97" s="105"/>
    </row>
    <row r="98" spans="2:29" hidden="1">
      <c r="B98" s="118"/>
      <c r="C98" s="119"/>
      <c r="D98" s="118"/>
      <c r="E98" s="120" t="str">
        <f>IF('Device Config'!$F$1=1,'LPDDR2-S4 Specs'!E3,IF('Device Config'!$F$1=2,'LPDDR2-S4 Specs'!K3,IF('Device Config'!$F$1=3,'LPDDR2-S4 Specs'!Q3,IF('Device Config'!$F$1=4,'LPDDR2-S4 Specs'!W3,'LPDDR2-S4 Specs'!AC3))))</f>
        <v>-18</v>
      </c>
      <c r="F98" s="120" t="str">
        <f>IF('Device Config'!$F$1=1,'LPDDR2-S4 Specs'!F3,IF('Device Config'!$F$1=2,'LPDDR2-S4 Specs'!L3,IF('Device Config'!$F$1=3,'LPDDR2-S4 Specs'!R3,IF('Device Config'!$F$1=4,'LPDDR2-S4 Specs'!X3,'LPDDR2-S4 Specs'!AD3))))</f>
        <v>-25</v>
      </c>
      <c r="G98" s="120" t="str">
        <f>IF('Device Config'!$F$1=1,'LPDDR2-S4 Specs'!G3,IF('Device Config'!$F$1=2,'LPDDR2-S4 Specs'!M3,IF('Device Config'!$F$1=3,'LPDDR2-S4 Specs'!S3,IF('Device Config'!$F$1=4,'LPDDR2-S4 Specs'!Y3,'LPDDR2-S4 Specs'!AE3))))</f>
        <v>-3</v>
      </c>
      <c r="H98" s="120" t="str">
        <f>IF('Device Config'!$F$1=1,'LPDDR2-S4 Specs'!H3,IF('Device Config'!$F$1=2,'LPDDR2-S4 Specs'!N3,IF('Device Config'!$F$1=3,'LPDDR2-S4 Specs'!T3,IF('Device Config'!$F$1=4,'LPDDR2-S4 Specs'!Z3,'LPDDR2-S4 Specs'!AF3))))</f>
        <v>-37</v>
      </c>
      <c r="I98" s="120" t="str">
        <f>IF('Device Config'!$F$1=1,'LPDDR2-S4 Specs'!I3,IF('Device Config'!$F$1=2,'LPDDR2-S4 Specs'!O3,IF('Device Config'!$F$1=3,'LPDDR2-S4 Specs'!U3,IF('Device Config'!$F$1=4,'LPDDR2-S4 Specs'!AA3,'LPDDR2-S4 Specs'!AG3))))</f>
        <v>-5</v>
      </c>
      <c r="J98" s="120"/>
      <c r="K98" s="120"/>
      <c r="L98" s="120"/>
      <c r="M98" s="120"/>
      <c r="N98" s="120">
        <f>'Device Config'!B40</f>
        <v>5</v>
      </c>
      <c r="O98" s="120" t="s">
        <v>306</v>
      </c>
      <c r="P98" s="120"/>
      <c r="Q98" s="140"/>
      <c r="R98" s="140"/>
      <c r="S98" s="140"/>
      <c r="T98" s="140"/>
      <c r="U98" s="140"/>
      <c r="AC98" s="105"/>
    </row>
    <row r="99" spans="2:29" hidden="1">
      <c r="B99" s="118"/>
      <c r="C99" s="119"/>
      <c r="D99" s="118"/>
      <c r="E99" s="120">
        <v>1</v>
      </c>
      <c r="F99" s="120">
        <v>2</v>
      </c>
      <c r="G99" s="120">
        <v>3</v>
      </c>
      <c r="H99" s="120">
        <v>4</v>
      </c>
      <c r="I99" s="120">
        <v>5</v>
      </c>
      <c r="J99" s="120"/>
      <c r="K99" s="120"/>
      <c r="L99" s="120"/>
      <c r="M99" s="120"/>
      <c r="N99" s="120">
        <f>'Device Config'!C40</f>
        <v>1</v>
      </c>
      <c r="O99" s="120" t="s">
        <v>307</v>
      </c>
      <c r="P99" s="120"/>
      <c r="Q99" s="140"/>
      <c r="R99" s="140"/>
      <c r="S99" s="140"/>
      <c r="T99" s="140"/>
      <c r="U99" s="140"/>
      <c r="AC99" s="105"/>
    </row>
    <row r="100" spans="2:29" hidden="1">
      <c r="B100" s="118"/>
      <c r="C100" s="119"/>
      <c r="D100" s="118"/>
      <c r="E100" s="120">
        <f>IF('Device Config'!$F$1=1,'LPDDR2-S4 Specs'!E4,IF('Device Config'!$F$1=2,'LPDDR2-S4 Specs'!K4,IF('Device Config'!$F$1=3,'LPDDR2-S4 Specs'!Q4,IF('Device Config'!$F$1=4,'LPDDR2-S4 Specs'!W4,'LPDDR2-S4 Specs'!AC4))))</f>
        <v>1.95</v>
      </c>
      <c r="F100" s="120">
        <f>IF('Device Config'!$F$1=1,'LPDDR2-S4 Specs'!F4,IF('Device Config'!$F$1=2,'LPDDR2-S4 Specs'!L4,IF('Device Config'!$F$1=3,'LPDDR2-S4 Specs'!R4,IF('Device Config'!$F$1=4,'LPDDR2-S4 Specs'!X4,'LPDDR2-S4 Specs'!AD4))))</f>
        <v>1.95</v>
      </c>
      <c r="G100" s="120">
        <f>IF('Device Config'!$F$1=1,'LPDDR2-S4 Specs'!G4,IF('Device Config'!$F$1=2,'LPDDR2-S4 Specs'!M4,IF('Device Config'!$F$1=3,'LPDDR2-S4 Specs'!S4,IF('Device Config'!$F$1=4,'LPDDR2-S4 Specs'!Y4,'LPDDR2-S4 Specs'!AE4))))</f>
        <v>1.95</v>
      </c>
      <c r="H100" s="120">
        <f>IF('Device Config'!$F$1=1,'LPDDR2-S4 Specs'!H4,IF('Device Config'!$F$1=2,'LPDDR2-S4 Specs'!N4,IF('Device Config'!$F$1=3,'LPDDR2-S4 Specs'!T4,IF('Device Config'!$F$1=4,'LPDDR2-S4 Specs'!Z4,'LPDDR2-S4 Specs'!AF4))))</f>
        <v>1.95</v>
      </c>
      <c r="I100" s="120">
        <f>IF('Device Config'!$F$1=1,'LPDDR2-S4 Specs'!I4,IF('Device Config'!$F$1=2,'LPDDR2-S4 Specs'!O4,IF('Device Config'!$F$1=3,'LPDDR2-S4 Specs'!U4,IF('Device Config'!$F$1=4,'LPDDR2-S4 Specs'!AA4,'LPDDR2-S4 Specs'!AG4))))</f>
        <v>1.95</v>
      </c>
      <c r="J100" s="120"/>
      <c r="K100" s="120"/>
      <c r="L100" s="120"/>
      <c r="M100" s="120"/>
      <c r="N100" s="120">
        <f>HLOOKUP($N$99,$E$99:$I$190,2)</f>
        <v>1.95</v>
      </c>
      <c r="O100" s="120"/>
      <c r="P100" s="120"/>
      <c r="Q100" s="140"/>
      <c r="R100" s="140"/>
      <c r="S100" s="140"/>
      <c r="T100" s="140"/>
      <c r="U100" s="140"/>
      <c r="AC100" s="105"/>
    </row>
    <row r="101" spans="2:29" hidden="1">
      <c r="B101" s="118"/>
      <c r="C101" s="119"/>
      <c r="D101" s="118"/>
      <c r="E101" s="120">
        <f>IF('Device Config'!$F$1=1,'LPDDR2-S4 Specs'!E5,IF('Device Config'!$F$1=2,'LPDDR2-S4 Specs'!K5,IF('Device Config'!$F$1=3,'LPDDR2-S4 Specs'!Q5,IF('Device Config'!$F$1=4,'LPDDR2-S4 Specs'!W5,'LPDDR2-S4 Specs'!AC5))))</f>
        <v>1.7</v>
      </c>
      <c r="F101" s="120">
        <f>IF('Device Config'!$F$1=1,'LPDDR2-S4 Specs'!F5,IF('Device Config'!$F$1=2,'LPDDR2-S4 Specs'!L5,IF('Device Config'!$F$1=3,'LPDDR2-S4 Specs'!R5,IF('Device Config'!$F$1=4,'LPDDR2-S4 Specs'!X5,'LPDDR2-S4 Specs'!AD5))))</f>
        <v>1.7</v>
      </c>
      <c r="G101" s="120">
        <f>IF('Device Config'!$F$1=1,'LPDDR2-S4 Specs'!G5,IF('Device Config'!$F$1=2,'LPDDR2-S4 Specs'!M5,IF('Device Config'!$F$1=3,'LPDDR2-S4 Specs'!S5,IF('Device Config'!$F$1=4,'LPDDR2-S4 Specs'!Y5,'LPDDR2-S4 Specs'!AE5))))</f>
        <v>1.7</v>
      </c>
      <c r="H101" s="120">
        <f>IF('Device Config'!$F$1=1,'LPDDR2-S4 Specs'!H5,IF('Device Config'!$F$1=2,'LPDDR2-S4 Specs'!N5,IF('Device Config'!$F$1=3,'LPDDR2-S4 Specs'!T5,IF('Device Config'!$F$1=4,'LPDDR2-S4 Specs'!Z5,'LPDDR2-S4 Specs'!AF5))))</f>
        <v>1.7</v>
      </c>
      <c r="I101" s="120">
        <f>IF('Device Config'!$F$1=1,'LPDDR2-S4 Specs'!I5,IF('Device Config'!$F$1=2,'LPDDR2-S4 Specs'!O5,IF('Device Config'!$F$1=3,'LPDDR2-S4 Specs'!U5,IF('Device Config'!$F$1=4,'LPDDR2-S4 Specs'!AA5,'LPDDR2-S4 Specs'!AG5))))</f>
        <v>1.7</v>
      </c>
      <c r="J101" s="120"/>
      <c r="K101" s="120"/>
      <c r="L101" s="120"/>
      <c r="M101" s="120"/>
      <c r="N101" s="120">
        <f>HLOOKUP($N$99,$E$99:$I$190,3)</f>
        <v>1.7</v>
      </c>
      <c r="O101" s="120"/>
      <c r="P101" s="120"/>
      <c r="Q101" s="140"/>
      <c r="R101" s="140"/>
      <c r="S101" s="140"/>
      <c r="T101" s="140"/>
      <c r="U101" s="140"/>
      <c r="AC101" s="105"/>
    </row>
    <row r="102" spans="2:29" hidden="1">
      <c r="B102" s="118"/>
      <c r="C102" s="119"/>
      <c r="D102" s="118"/>
      <c r="E102" s="120">
        <f>IF('Device Config'!$F$1=1,'LPDDR2-S4 Specs'!E6,IF('Device Config'!$F$1=2,'LPDDR2-S4 Specs'!K6,IF('Device Config'!$F$1=3,'LPDDR2-S4 Specs'!Q6,IF('Device Config'!$F$1=4,'LPDDR2-S4 Specs'!W6,'LPDDR2-S4 Specs'!AC6))))</f>
        <v>1.3</v>
      </c>
      <c r="F102" s="120">
        <f>IF('Device Config'!$F$1=1,'LPDDR2-S4 Specs'!F6,IF('Device Config'!$F$1=2,'LPDDR2-S4 Specs'!L6,IF('Device Config'!$F$1=3,'LPDDR2-S4 Specs'!R6,IF('Device Config'!$F$1=4,'LPDDR2-S4 Specs'!X6,'LPDDR2-S4 Specs'!AD6))))</f>
        <v>1.3</v>
      </c>
      <c r="G102" s="120">
        <f>IF('Device Config'!$F$1=1,'LPDDR2-S4 Specs'!G6,IF('Device Config'!$F$1=2,'LPDDR2-S4 Specs'!M6,IF('Device Config'!$F$1=3,'LPDDR2-S4 Specs'!S6,IF('Device Config'!$F$1=4,'LPDDR2-S4 Specs'!Y6,'LPDDR2-S4 Specs'!AE6))))</f>
        <v>1.3</v>
      </c>
      <c r="H102" s="120">
        <f>IF('Device Config'!$F$1=1,'LPDDR2-S4 Specs'!H6,IF('Device Config'!$F$1=2,'LPDDR2-S4 Specs'!N6,IF('Device Config'!$F$1=3,'LPDDR2-S4 Specs'!T6,IF('Device Config'!$F$1=4,'LPDDR2-S4 Specs'!Z6,'LPDDR2-S4 Specs'!AF6))))</f>
        <v>1.3</v>
      </c>
      <c r="I102" s="120">
        <f>IF('Device Config'!$F$1=1,'LPDDR2-S4 Specs'!I6,IF('Device Config'!$F$1=2,'LPDDR2-S4 Specs'!O6,IF('Device Config'!$F$1=3,'LPDDR2-S4 Specs'!U6,IF('Device Config'!$F$1=4,'LPDDR2-S4 Specs'!AA6,'LPDDR2-S4 Specs'!AG6))))</f>
        <v>1.3</v>
      </c>
      <c r="J102" s="120"/>
      <c r="K102" s="120"/>
      <c r="L102" s="120"/>
      <c r="M102" s="120"/>
      <c r="N102" s="120">
        <f>HLOOKUP($N$99,$E$99:$I$190,4)</f>
        <v>1.3</v>
      </c>
      <c r="O102" s="120"/>
      <c r="P102" s="120"/>
      <c r="Q102" s="140"/>
      <c r="R102" s="140"/>
      <c r="S102" s="140"/>
      <c r="T102" s="140"/>
      <c r="U102" s="140"/>
      <c r="AC102" s="105"/>
    </row>
    <row r="103" spans="2:29" hidden="1">
      <c r="B103" s="118"/>
      <c r="C103" s="119"/>
      <c r="D103" s="118"/>
      <c r="E103" s="120">
        <f>IF('Device Config'!$F$1=1,'LPDDR2-S4 Specs'!E7,IF('Device Config'!$F$1=2,'LPDDR2-S4 Specs'!K7,IF('Device Config'!$F$1=3,'LPDDR2-S4 Specs'!Q7,IF('Device Config'!$F$1=4,'LPDDR2-S4 Specs'!W7,'LPDDR2-S4 Specs'!AC7))))</f>
        <v>1.1399999999999999</v>
      </c>
      <c r="F103" s="120">
        <f>IF('Device Config'!$F$1=1,'LPDDR2-S4 Specs'!F7,IF('Device Config'!$F$1=2,'LPDDR2-S4 Specs'!L7,IF('Device Config'!$F$1=3,'LPDDR2-S4 Specs'!R7,IF('Device Config'!$F$1=4,'LPDDR2-S4 Specs'!X7,'LPDDR2-S4 Specs'!AD7))))</f>
        <v>1.1399999999999999</v>
      </c>
      <c r="G103" s="120">
        <f>IF('Device Config'!$F$1=1,'LPDDR2-S4 Specs'!G7,IF('Device Config'!$F$1=2,'LPDDR2-S4 Specs'!M7,IF('Device Config'!$F$1=3,'LPDDR2-S4 Specs'!S7,IF('Device Config'!$F$1=4,'LPDDR2-S4 Specs'!Y7,'LPDDR2-S4 Specs'!AE7))))</f>
        <v>1.1399999999999999</v>
      </c>
      <c r="H103" s="120">
        <f>IF('Device Config'!$F$1=1,'LPDDR2-S4 Specs'!H7,IF('Device Config'!$F$1=2,'LPDDR2-S4 Specs'!N7,IF('Device Config'!$F$1=3,'LPDDR2-S4 Specs'!T7,IF('Device Config'!$F$1=4,'LPDDR2-S4 Specs'!Z7,'LPDDR2-S4 Specs'!AF7))))</f>
        <v>1.1399999999999999</v>
      </c>
      <c r="I103" s="120">
        <f>IF('Device Config'!$F$1=1,'LPDDR2-S4 Specs'!I7,IF('Device Config'!$F$1=2,'LPDDR2-S4 Specs'!O7,IF('Device Config'!$F$1=3,'LPDDR2-S4 Specs'!U7,IF('Device Config'!$F$1=4,'LPDDR2-S4 Specs'!AA7,'LPDDR2-S4 Specs'!AG7))))</f>
        <v>1.1399999999999999</v>
      </c>
      <c r="J103" s="120"/>
      <c r="K103" s="120"/>
      <c r="L103" s="120"/>
      <c r="M103" s="120"/>
      <c r="N103" s="120">
        <f>HLOOKUP($N$99,$E$99:$I$190,5)</f>
        <v>1.1399999999999999</v>
      </c>
      <c r="O103" s="120"/>
      <c r="P103" s="120"/>
      <c r="Q103" s="140"/>
      <c r="R103" s="140"/>
      <c r="S103" s="140"/>
      <c r="T103" s="140"/>
      <c r="U103" s="140"/>
      <c r="AC103" s="105"/>
    </row>
    <row r="104" spans="2:29" hidden="1">
      <c r="B104" s="118"/>
      <c r="C104" s="119"/>
      <c r="D104" s="118"/>
      <c r="E104" s="120">
        <f>IF('Device Config'!$F$1=1,'LPDDR2-S4 Specs'!E8,IF('Device Config'!$F$1=2,'LPDDR2-S4 Specs'!K8,IF('Device Config'!$F$1=3,'LPDDR2-S4 Specs'!Q8,IF('Device Config'!$F$1=4,'LPDDR2-S4 Specs'!W8,'LPDDR2-S4 Specs'!AC8))))</f>
        <v>1.3</v>
      </c>
      <c r="F104" s="120">
        <f>IF('Device Config'!$F$1=1,'LPDDR2-S4 Specs'!F8,IF('Device Config'!$F$1=2,'LPDDR2-S4 Specs'!L8,IF('Device Config'!$F$1=3,'LPDDR2-S4 Specs'!R8,IF('Device Config'!$F$1=4,'LPDDR2-S4 Specs'!X8,'LPDDR2-S4 Specs'!AD8))))</f>
        <v>1.3</v>
      </c>
      <c r="G104" s="120">
        <f>IF('Device Config'!$F$1=1,'LPDDR2-S4 Specs'!G8,IF('Device Config'!$F$1=2,'LPDDR2-S4 Specs'!M8,IF('Device Config'!$F$1=3,'LPDDR2-S4 Specs'!S8,IF('Device Config'!$F$1=4,'LPDDR2-S4 Specs'!Y8,'LPDDR2-S4 Specs'!AE8))))</f>
        <v>1.3</v>
      </c>
      <c r="H104" s="120">
        <f>IF('Device Config'!$F$1=1,'LPDDR2-S4 Specs'!H8,IF('Device Config'!$F$1=2,'LPDDR2-S4 Specs'!N8,IF('Device Config'!$F$1=3,'LPDDR2-S4 Specs'!T8,IF('Device Config'!$F$1=4,'LPDDR2-S4 Specs'!Z8,'LPDDR2-S4 Specs'!AF8))))</f>
        <v>1.3</v>
      </c>
      <c r="I104" s="120">
        <f>IF('Device Config'!$F$1=1,'LPDDR2-S4 Specs'!I8,IF('Device Config'!$F$1=2,'LPDDR2-S4 Specs'!O8,IF('Device Config'!$F$1=3,'LPDDR2-S4 Specs'!U8,IF('Device Config'!$F$1=4,'LPDDR2-S4 Specs'!AA8,'LPDDR2-S4 Specs'!AG8))))</f>
        <v>1.3</v>
      </c>
      <c r="J104" s="120"/>
      <c r="K104" s="120"/>
      <c r="L104" s="120"/>
      <c r="M104" s="120"/>
      <c r="N104" s="120">
        <f>HLOOKUP($N$99,$E$99:$I$190,6)</f>
        <v>1.3</v>
      </c>
      <c r="O104" s="120"/>
      <c r="P104" s="120"/>
      <c r="Q104" s="140"/>
      <c r="R104" s="140"/>
      <c r="S104" s="140"/>
      <c r="T104" s="140"/>
      <c r="U104" s="140"/>
      <c r="AC104" s="105"/>
    </row>
    <row r="105" spans="2:29" hidden="1">
      <c r="B105" s="118"/>
      <c r="C105" s="119"/>
      <c r="D105" s="118"/>
      <c r="E105" s="120">
        <f>IF('Device Config'!$F$1=1,'LPDDR2-S4 Specs'!E9,IF('Device Config'!$F$1=2,'LPDDR2-S4 Specs'!K9,IF('Device Config'!$F$1=3,'LPDDR2-S4 Specs'!Q9,IF('Device Config'!$F$1=4,'LPDDR2-S4 Specs'!W9,'LPDDR2-S4 Specs'!AC9))))</f>
        <v>1.1399999999999999</v>
      </c>
      <c r="F105" s="120">
        <f>IF('Device Config'!$F$1=1,'LPDDR2-S4 Specs'!F9,IF('Device Config'!$F$1=2,'LPDDR2-S4 Specs'!L9,IF('Device Config'!$F$1=3,'LPDDR2-S4 Specs'!R9,IF('Device Config'!$F$1=4,'LPDDR2-S4 Specs'!X9,'LPDDR2-S4 Specs'!AD9))))</f>
        <v>1.1399999999999999</v>
      </c>
      <c r="G105" s="120">
        <f>IF('Device Config'!$F$1=1,'LPDDR2-S4 Specs'!G9,IF('Device Config'!$F$1=2,'LPDDR2-S4 Specs'!M9,IF('Device Config'!$F$1=3,'LPDDR2-S4 Specs'!S9,IF('Device Config'!$F$1=4,'LPDDR2-S4 Specs'!Y9,'LPDDR2-S4 Specs'!AE9))))</f>
        <v>1.1399999999999999</v>
      </c>
      <c r="H105" s="120">
        <f>IF('Device Config'!$F$1=1,'LPDDR2-S4 Specs'!H9,IF('Device Config'!$F$1=2,'LPDDR2-S4 Specs'!N9,IF('Device Config'!$F$1=3,'LPDDR2-S4 Specs'!T9,IF('Device Config'!$F$1=4,'LPDDR2-S4 Specs'!Z9,'LPDDR2-S4 Specs'!AF9))))</f>
        <v>1.1399999999999999</v>
      </c>
      <c r="I105" s="120">
        <f>IF('Device Config'!$F$1=1,'LPDDR2-S4 Specs'!I9,IF('Device Config'!$F$1=2,'LPDDR2-S4 Specs'!O9,IF('Device Config'!$F$1=3,'LPDDR2-S4 Specs'!U9,IF('Device Config'!$F$1=4,'LPDDR2-S4 Specs'!AA9,'LPDDR2-S4 Specs'!AG9))))</f>
        <v>1.1399999999999999</v>
      </c>
      <c r="J105" s="120"/>
      <c r="K105" s="120"/>
      <c r="L105" s="120"/>
      <c r="M105" s="120"/>
      <c r="N105" s="120">
        <f>HLOOKUP($N$99,$E$99:$I$190,7)</f>
        <v>1.1399999999999999</v>
      </c>
      <c r="O105" s="120"/>
      <c r="P105" s="120"/>
      <c r="Q105" s="140"/>
      <c r="R105" s="140"/>
      <c r="S105" s="140"/>
      <c r="T105" s="140"/>
      <c r="U105" s="140"/>
      <c r="AC105" s="105"/>
    </row>
    <row r="106" spans="2:29" hidden="1">
      <c r="B106" s="118"/>
      <c r="C106" s="119"/>
      <c r="D106" s="118"/>
      <c r="E106" s="120"/>
      <c r="F106" s="120"/>
      <c r="G106" s="120"/>
      <c r="H106" s="120"/>
      <c r="I106" s="120"/>
      <c r="J106" s="120"/>
      <c r="K106" s="120"/>
      <c r="L106" s="120"/>
      <c r="M106" s="120"/>
      <c r="N106" s="120"/>
      <c r="O106" s="120"/>
      <c r="P106" s="120"/>
      <c r="Q106" s="140"/>
      <c r="R106" s="140"/>
      <c r="S106" s="140"/>
      <c r="T106" s="140"/>
      <c r="U106" s="140"/>
      <c r="AC106" s="105"/>
    </row>
    <row r="107" spans="2:29" ht="14.25" hidden="1" customHeight="1">
      <c r="B107" s="118"/>
      <c r="C107" s="119"/>
      <c r="D107" s="118"/>
      <c r="E107" s="120">
        <f>IF('Device Config'!$B$40=1,'LPDDR2-S4 Specs'!E11,IF('Device Config'!$B$40=2,'LPDDR2-S4 Specs'!K11,IF('Device Config'!$B$40=3,'LPDDR2-S4 Specs'!Q11,IF('Device Config'!$B$40=4,'LPDDR2-S4 Specs'!W11,'LPDDR2-S4 Specs'!AC11))))</f>
        <v>15</v>
      </c>
      <c r="F107" s="120">
        <f>IF('Device Config'!$B$40=1,'LPDDR2-S4 Specs'!F11,IF('Device Config'!$B$40=2,'LPDDR2-S4 Specs'!L11,IF('Device Config'!$B$40=3,'LPDDR2-S4 Specs'!R11,IF('Device Config'!$B$40=4,'LPDDR2-S4 Specs'!X11,'LPDDR2-S4 Specs'!AD11))))</f>
        <v>15</v>
      </c>
      <c r="G107" s="120">
        <f>IF('Device Config'!$B$40=1,'LPDDR2-S4 Specs'!G11,IF('Device Config'!$B$40=2,'LPDDR2-S4 Specs'!M11,IF('Device Config'!$B$40=3,'LPDDR2-S4 Specs'!S11,IF('Device Config'!$B$40=4,'LPDDR2-S4 Specs'!Y11,'LPDDR2-S4 Specs'!AE11))))</f>
        <v>15</v>
      </c>
      <c r="H107" s="120">
        <f>IF('Device Config'!$B$40=1,'LPDDR2-S4 Specs'!H11,IF('Device Config'!$B$40=2,'LPDDR2-S4 Specs'!N11,IF('Device Config'!$B$40=3,'LPDDR2-S4 Specs'!T11,IF('Device Config'!$B$40=4,'LPDDR2-S4 Specs'!Z11,'LPDDR2-S4 Specs'!AF11))))</f>
        <v>15</v>
      </c>
      <c r="I107" s="120">
        <f>IF('Device Config'!$B$40=1,'LPDDR2-S4 Specs'!I11,IF('Device Config'!$B$40=2,'LPDDR2-S4 Specs'!O11,IF('Device Config'!$B$40=3,'LPDDR2-S4 Specs'!U11,IF('Device Config'!$B$40=4,'LPDDR2-S4 Specs'!AA11,'LPDDR2-S4 Specs'!AG11))))</f>
        <v>15</v>
      </c>
      <c r="J107" s="120"/>
      <c r="K107" s="120"/>
      <c r="L107" s="120"/>
      <c r="M107" s="120"/>
      <c r="N107" s="120">
        <f>HLOOKUP($N$99,$E$99:$I$190,9)</f>
        <v>15</v>
      </c>
      <c r="O107" s="120"/>
      <c r="P107" s="120"/>
      <c r="Q107" s="140"/>
      <c r="R107" s="140"/>
      <c r="S107" s="140"/>
      <c r="T107" s="140"/>
      <c r="U107" s="140"/>
      <c r="AC107" s="105"/>
    </row>
    <row r="108" spans="2:29" ht="14.25" hidden="1" customHeight="1">
      <c r="B108" s="118"/>
      <c r="C108" s="119"/>
      <c r="D108" s="118"/>
      <c r="E108" s="120">
        <f>IF('Device Config'!$B$40=1,'LPDDR2-S4 Specs'!E12,IF('Device Config'!$B$40=2,'LPDDR2-S4 Specs'!K12,IF('Device Config'!$B$40=3,'LPDDR2-S4 Specs'!Q12,IF('Device Config'!$B$40=4,'LPDDR2-S4 Specs'!W12,'LPDDR2-S4 Specs'!AC12))))</f>
        <v>15</v>
      </c>
      <c r="F108" s="120">
        <f>IF('Device Config'!$B$40=1,'LPDDR2-S4 Specs'!F12,IF('Device Config'!$B$40=2,'LPDDR2-S4 Specs'!L12,IF('Device Config'!$B$40=3,'LPDDR2-S4 Specs'!R12,IF('Device Config'!$B$40=4,'LPDDR2-S4 Specs'!X12,'LPDDR2-S4 Specs'!AD12))))</f>
        <v>15</v>
      </c>
      <c r="G108" s="120">
        <f>IF('Device Config'!$B$40=1,'LPDDR2-S4 Specs'!G12,IF('Device Config'!$B$40=2,'LPDDR2-S4 Specs'!M12,IF('Device Config'!$B$40=3,'LPDDR2-S4 Specs'!S12,IF('Device Config'!$B$40=4,'LPDDR2-S4 Specs'!Y12,'LPDDR2-S4 Specs'!AE12))))</f>
        <v>15</v>
      </c>
      <c r="H108" s="120">
        <f>IF('Device Config'!$B$40=1,'LPDDR2-S4 Specs'!H12,IF('Device Config'!$B$40=2,'LPDDR2-S4 Specs'!N12,IF('Device Config'!$B$40=3,'LPDDR2-S4 Specs'!T12,IF('Device Config'!$B$40=4,'LPDDR2-S4 Specs'!Z12,'LPDDR2-S4 Specs'!AF12))))</f>
        <v>15</v>
      </c>
      <c r="I108" s="120">
        <f>IF('Device Config'!$B$40=1,'LPDDR2-S4 Specs'!I12,IF('Device Config'!$B$40=2,'LPDDR2-S4 Specs'!O12,IF('Device Config'!$B$40=3,'LPDDR2-S4 Specs'!U12,IF('Device Config'!$B$40=4,'LPDDR2-S4 Specs'!AA12,'LPDDR2-S4 Specs'!AG12))))</f>
        <v>15</v>
      </c>
      <c r="J108" s="120"/>
      <c r="K108" s="120"/>
      <c r="L108" s="120"/>
      <c r="M108" s="120"/>
      <c r="N108" s="120">
        <f>HLOOKUP($N$99,$E$99:$I$190,10)</f>
        <v>15</v>
      </c>
      <c r="O108" s="120"/>
      <c r="P108" s="120"/>
      <c r="Q108" s="140"/>
      <c r="R108" s="140"/>
      <c r="S108" s="140"/>
      <c r="T108" s="140"/>
      <c r="U108" s="140"/>
      <c r="AC108" s="105"/>
    </row>
    <row r="109" spans="2:29" hidden="1">
      <c r="B109" s="118"/>
      <c r="C109" s="119"/>
      <c r="D109" s="118"/>
      <c r="E109" s="120">
        <f>IF('Device Config'!$B$40=1,'LPDDR2-S4 Specs'!E13,IF('Device Config'!$B$40=2,'LPDDR2-S4 Specs'!K13,IF('Device Config'!$B$40=3,'LPDDR2-S4 Specs'!Q13,IF('Device Config'!$B$40=4,'LPDDR2-S4 Specs'!W13,'LPDDR2-S4 Specs'!AC13))))</f>
        <v>0.6</v>
      </c>
      <c r="F109" s="120">
        <f>IF('Device Config'!$B$40=1,'LPDDR2-S4 Specs'!F13,IF('Device Config'!$B$40=2,'LPDDR2-S4 Specs'!L13,IF('Device Config'!$B$40=3,'LPDDR2-S4 Specs'!R13,IF('Device Config'!$B$40=4,'LPDDR2-S4 Specs'!X13,'LPDDR2-S4 Specs'!AD13))))</f>
        <v>0.6</v>
      </c>
      <c r="G109" s="120">
        <f>IF('Device Config'!$B$40=1,'LPDDR2-S4 Specs'!G13,IF('Device Config'!$B$40=2,'LPDDR2-S4 Specs'!M13,IF('Device Config'!$B$40=3,'LPDDR2-S4 Specs'!S13,IF('Device Config'!$B$40=4,'LPDDR2-S4 Specs'!Y13,'LPDDR2-S4 Specs'!AE13))))</f>
        <v>0.6</v>
      </c>
      <c r="H109" s="120">
        <f>IF('Device Config'!$B$40=1,'LPDDR2-S4 Specs'!H13,IF('Device Config'!$B$40=2,'LPDDR2-S4 Specs'!N13,IF('Device Config'!$B$40=3,'LPDDR2-S4 Specs'!T13,IF('Device Config'!$B$40=4,'LPDDR2-S4 Specs'!Z13,'LPDDR2-S4 Specs'!AF13))))</f>
        <v>0.6</v>
      </c>
      <c r="I109" s="120">
        <f>IF('Device Config'!$B$40=1,'LPDDR2-S4 Specs'!I13,IF('Device Config'!$B$40=2,'LPDDR2-S4 Specs'!O13,IF('Device Config'!$B$40=3,'LPDDR2-S4 Specs'!U13,IF('Device Config'!$B$40=4,'LPDDR2-S4 Specs'!AA13,'LPDDR2-S4 Specs'!AG13))))</f>
        <v>0.6</v>
      </c>
      <c r="J109" s="120"/>
      <c r="K109" s="120"/>
      <c r="L109" s="120"/>
      <c r="M109" s="120"/>
      <c r="N109" s="120">
        <f>HLOOKUP($N$99,$E$99:$I$190,11)</f>
        <v>0.6</v>
      </c>
      <c r="O109" s="120"/>
      <c r="P109" s="120"/>
      <c r="Q109" s="140"/>
      <c r="R109" s="140"/>
      <c r="S109" s="140"/>
      <c r="T109" s="140"/>
      <c r="U109" s="140"/>
      <c r="AC109" s="105"/>
    </row>
    <row r="110" spans="2:29" hidden="1">
      <c r="B110" s="118"/>
      <c r="C110" s="119"/>
      <c r="D110" s="118"/>
      <c r="E110" s="120">
        <f>IF('Device Config'!$B$40=1,'LPDDR2-S4 Specs'!E14,IF('Device Config'!$B$40=2,'LPDDR2-S4 Specs'!K14,IF('Device Config'!$B$40=3,'LPDDR2-S4 Specs'!Q14,IF('Device Config'!$B$40=4,'LPDDR2-S4 Specs'!W14,'LPDDR2-S4 Specs'!AC14))))</f>
        <v>0.6</v>
      </c>
      <c r="F110" s="120">
        <f>IF('Device Config'!$B$40=1,'LPDDR2-S4 Specs'!F14,IF('Device Config'!$B$40=2,'LPDDR2-S4 Specs'!L14,IF('Device Config'!$B$40=3,'LPDDR2-S4 Specs'!R14,IF('Device Config'!$B$40=4,'LPDDR2-S4 Specs'!X14,'LPDDR2-S4 Specs'!AD14))))</f>
        <v>0.6</v>
      </c>
      <c r="G110" s="120">
        <f>IF('Device Config'!$B$40=1,'LPDDR2-S4 Specs'!G14,IF('Device Config'!$B$40=2,'LPDDR2-S4 Specs'!M14,IF('Device Config'!$B$40=3,'LPDDR2-S4 Specs'!S14,IF('Device Config'!$B$40=4,'LPDDR2-S4 Specs'!Y14,'LPDDR2-S4 Specs'!AE14))))</f>
        <v>0.6</v>
      </c>
      <c r="H110" s="120">
        <f>IF('Device Config'!$B$40=1,'LPDDR2-S4 Specs'!H14,IF('Device Config'!$B$40=2,'LPDDR2-S4 Specs'!N14,IF('Device Config'!$B$40=3,'LPDDR2-S4 Specs'!T14,IF('Device Config'!$B$40=4,'LPDDR2-S4 Specs'!Z14,'LPDDR2-S4 Specs'!AF14))))</f>
        <v>0.6</v>
      </c>
      <c r="I110" s="120">
        <f>IF('Device Config'!$B$40=1,'LPDDR2-S4 Specs'!I14,IF('Device Config'!$B$40=2,'LPDDR2-S4 Specs'!O14,IF('Device Config'!$B$40=3,'LPDDR2-S4 Specs'!U14,IF('Device Config'!$B$40=4,'LPDDR2-S4 Specs'!AA14,'LPDDR2-S4 Specs'!AG14))))</f>
        <v>0.6</v>
      </c>
      <c r="J110" s="120"/>
      <c r="K110" s="120"/>
      <c r="L110" s="120"/>
      <c r="M110" s="120"/>
      <c r="N110" s="120">
        <f>HLOOKUP($N$99,$E$99:$I$190,12)</f>
        <v>0.6</v>
      </c>
      <c r="O110" s="120"/>
      <c r="P110" s="120"/>
      <c r="Q110" s="140"/>
      <c r="R110" s="140"/>
      <c r="S110" s="140"/>
      <c r="T110" s="140"/>
      <c r="U110" s="140"/>
      <c r="AC110" s="105"/>
    </row>
    <row r="111" spans="2:29" ht="14.25" hidden="1" customHeight="1">
      <c r="B111" s="118"/>
      <c r="C111" s="119"/>
      <c r="D111" s="118"/>
      <c r="E111" s="120">
        <f>IF('Device Config'!$B$40=1,'LPDDR2-S4 Specs'!E15,IF('Device Config'!$B$40=2,'LPDDR2-S4 Specs'!K15,IF('Device Config'!$B$40=3,'LPDDR2-S4 Specs'!Q15,IF('Device Config'!$B$40=4,'LPDDR2-S4 Specs'!W15,'LPDDR2-S4 Specs'!AC15))))</f>
        <v>0.6</v>
      </c>
      <c r="F111" s="120">
        <f>IF('Device Config'!$B$40=1,'LPDDR2-S4 Specs'!F15,IF('Device Config'!$B$40=2,'LPDDR2-S4 Specs'!L15,IF('Device Config'!$B$40=3,'LPDDR2-S4 Specs'!R15,IF('Device Config'!$B$40=4,'LPDDR2-S4 Specs'!X15,'LPDDR2-S4 Specs'!AD15))))</f>
        <v>0.6</v>
      </c>
      <c r="G111" s="120">
        <f>IF('Device Config'!$B$40=1,'LPDDR2-S4 Specs'!G15,IF('Device Config'!$B$40=2,'LPDDR2-S4 Specs'!M15,IF('Device Config'!$B$40=3,'LPDDR2-S4 Specs'!S15,IF('Device Config'!$B$40=4,'LPDDR2-S4 Specs'!Y15,'LPDDR2-S4 Specs'!AE15))))</f>
        <v>0.6</v>
      </c>
      <c r="H111" s="120">
        <f>IF('Device Config'!$B$40=1,'LPDDR2-S4 Specs'!H15,IF('Device Config'!$B$40=2,'LPDDR2-S4 Specs'!N15,IF('Device Config'!$B$40=3,'LPDDR2-S4 Specs'!T15,IF('Device Config'!$B$40=4,'LPDDR2-S4 Specs'!Z15,'LPDDR2-S4 Specs'!AF15))))</f>
        <v>0.6</v>
      </c>
      <c r="I111" s="120">
        <f>IF('Device Config'!$B$40=1,'LPDDR2-S4 Specs'!I15,IF('Device Config'!$B$40=2,'LPDDR2-S4 Specs'!O15,IF('Device Config'!$B$40=3,'LPDDR2-S4 Specs'!U15,IF('Device Config'!$B$40=4,'LPDDR2-S4 Specs'!AA15,'LPDDR2-S4 Specs'!AG15))))</f>
        <v>0.6</v>
      </c>
      <c r="J111" s="120"/>
      <c r="K111" s="120"/>
      <c r="L111" s="120"/>
      <c r="M111" s="120"/>
      <c r="N111" s="120">
        <f>HLOOKUP($N$99,$E$99:$I$190,13)</f>
        <v>0.6</v>
      </c>
      <c r="O111" s="120"/>
      <c r="P111" s="120"/>
      <c r="Q111" s="140"/>
      <c r="R111" s="140"/>
      <c r="S111" s="140"/>
      <c r="T111" s="140"/>
      <c r="U111" s="140"/>
      <c r="AC111" s="105"/>
    </row>
    <row r="112" spans="2:29" ht="14.25" hidden="1" customHeight="1">
      <c r="B112" s="118"/>
      <c r="C112" s="119"/>
      <c r="D112" s="118"/>
      <c r="E112" s="120">
        <f>IF('Device Config'!$B$40=1,'LPDDR2-S4 Specs'!E16,IF('Device Config'!$B$40=2,'LPDDR2-S4 Specs'!K16,IF('Device Config'!$B$40=3,'LPDDR2-S4 Specs'!Q16,IF('Device Config'!$B$40=4,'LPDDR2-S4 Specs'!W16,'LPDDR2-S4 Specs'!AC16))))</f>
        <v>0.6</v>
      </c>
      <c r="F112" s="120">
        <f>IF('Device Config'!$B$40=1,'LPDDR2-S4 Specs'!F16,IF('Device Config'!$B$40=2,'LPDDR2-S4 Specs'!L16,IF('Device Config'!$B$40=3,'LPDDR2-S4 Specs'!R16,IF('Device Config'!$B$40=4,'LPDDR2-S4 Specs'!X16,'LPDDR2-S4 Specs'!AD16))))</f>
        <v>0.6</v>
      </c>
      <c r="G112" s="120">
        <f>IF('Device Config'!$B$40=1,'LPDDR2-S4 Specs'!G16,IF('Device Config'!$B$40=2,'LPDDR2-S4 Specs'!M16,IF('Device Config'!$B$40=3,'LPDDR2-S4 Specs'!S16,IF('Device Config'!$B$40=4,'LPDDR2-S4 Specs'!Y16,'LPDDR2-S4 Specs'!AE16))))</f>
        <v>0.6</v>
      </c>
      <c r="H112" s="120">
        <f>IF('Device Config'!$B$40=1,'LPDDR2-S4 Specs'!H16,IF('Device Config'!$B$40=2,'LPDDR2-S4 Specs'!N16,IF('Device Config'!$B$40=3,'LPDDR2-S4 Specs'!T16,IF('Device Config'!$B$40=4,'LPDDR2-S4 Specs'!Z16,'LPDDR2-S4 Specs'!AF16))))</f>
        <v>0.6</v>
      </c>
      <c r="I112" s="120">
        <f>IF('Device Config'!$B$40=1,'LPDDR2-S4 Specs'!I16,IF('Device Config'!$B$40=2,'LPDDR2-S4 Specs'!O16,IF('Device Config'!$B$40=3,'LPDDR2-S4 Specs'!U16,IF('Device Config'!$B$40=4,'LPDDR2-S4 Specs'!AA16,'LPDDR2-S4 Specs'!AG16))))</f>
        <v>0.6</v>
      </c>
      <c r="J112" s="120"/>
      <c r="K112" s="120"/>
      <c r="L112" s="120"/>
      <c r="M112" s="120"/>
      <c r="N112" s="120">
        <f>HLOOKUP($N$99,$E$99:$I$190,14)</f>
        <v>0.6</v>
      </c>
      <c r="O112" s="120"/>
      <c r="P112" s="120"/>
      <c r="Q112" s="140"/>
      <c r="R112" s="140"/>
      <c r="S112" s="140"/>
      <c r="T112" s="140"/>
      <c r="U112" s="140"/>
      <c r="AC112" s="105"/>
    </row>
    <row r="113" spans="2:29" ht="14.25" hidden="1" customHeight="1">
      <c r="B113" s="118"/>
      <c r="C113" s="119"/>
      <c r="D113" s="118"/>
      <c r="E113" s="120">
        <f>IF('Device Config'!$B$40=1,'LPDDR2-S4 Specs'!E17,IF('Device Config'!$B$40=2,'LPDDR2-S4 Specs'!K17,IF('Device Config'!$B$40=3,'LPDDR2-S4 Specs'!Q17,IF('Device Config'!$B$40=4,'LPDDR2-S4 Specs'!W17,'LPDDR2-S4 Specs'!AC17))))</f>
        <v>2</v>
      </c>
      <c r="F113" s="120">
        <f>IF('Device Config'!$B$40=1,'LPDDR2-S4 Specs'!F17,IF('Device Config'!$B$40=2,'LPDDR2-S4 Specs'!L17,IF('Device Config'!$B$40=3,'LPDDR2-S4 Specs'!R17,IF('Device Config'!$B$40=4,'LPDDR2-S4 Specs'!X17,'LPDDR2-S4 Specs'!AD17))))</f>
        <v>2</v>
      </c>
      <c r="G113" s="120">
        <f>IF('Device Config'!$B$40=1,'LPDDR2-S4 Specs'!G17,IF('Device Config'!$B$40=2,'LPDDR2-S4 Specs'!M17,IF('Device Config'!$B$40=3,'LPDDR2-S4 Specs'!S17,IF('Device Config'!$B$40=4,'LPDDR2-S4 Specs'!Y17,'LPDDR2-S4 Specs'!AE17))))</f>
        <v>2</v>
      </c>
      <c r="H113" s="120">
        <f>IF('Device Config'!$B$40=1,'LPDDR2-S4 Specs'!H17,IF('Device Config'!$B$40=2,'LPDDR2-S4 Specs'!N17,IF('Device Config'!$B$40=3,'LPDDR2-S4 Specs'!T17,IF('Device Config'!$B$40=4,'LPDDR2-S4 Specs'!Z17,'LPDDR2-S4 Specs'!AF17))))</f>
        <v>2</v>
      </c>
      <c r="I113" s="120">
        <f>IF('Device Config'!$B$40=1,'LPDDR2-S4 Specs'!I17,IF('Device Config'!$B$40=2,'LPDDR2-S4 Specs'!O17,IF('Device Config'!$B$40=3,'LPDDR2-S4 Specs'!U17,IF('Device Config'!$B$40=4,'LPDDR2-S4 Specs'!AA17,'LPDDR2-S4 Specs'!AG17))))</f>
        <v>2</v>
      </c>
      <c r="J113" s="120"/>
      <c r="K113" s="120"/>
      <c r="L113" s="120"/>
      <c r="M113" s="120"/>
      <c r="N113" s="120">
        <f>HLOOKUP($N$99,$E$99:$I$190,15)</f>
        <v>2</v>
      </c>
      <c r="O113" s="120"/>
      <c r="P113" s="120"/>
      <c r="Q113" s="140"/>
      <c r="R113" s="140"/>
      <c r="S113" s="140"/>
      <c r="T113" s="140"/>
      <c r="U113" s="140"/>
      <c r="AC113" s="105"/>
    </row>
    <row r="114" spans="2:29" ht="14.25" hidden="1" customHeight="1">
      <c r="B114" s="118"/>
      <c r="C114" s="119"/>
      <c r="D114" s="118"/>
      <c r="E114" s="120">
        <f>IF('Device Config'!$B$40=1,'LPDDR2-S4 Specs'!E18,IF('Device Config'!$B$40=2,'LPDDR2-S4 Specs'!K18,IF('Device Config'!$B$40=3,'LPDDR2-S4 Specs'!Q18,IF('Device Config'!$B$40=4,'LPDDR2-S4 Specs'!W18,'LPDDR2-S4 Specs'!AC18))))</f>
        <v>2</v>
      </c>
      <c r="F114" s="120">
        <f>IF('Device Config'!$B$40=1,'LPDDR2-S4 Specs'!F18,IF('Device Config'!$B$40=2,'LPDDR2-S4 Specs'!L18,IF('Device Config'!$B$40=3,'LPDDR2-S4 Specs'!R18,IF('Device Config'!$B$40=4,'LPDDR2-S4 Specs'!X18,'LPDDR2-S4 Specs'!AD18))))</f>
        <v>2</v>
      </c>
      <c r="G114" s="120">
        <f>IF('Device Config'!$B$40=1,'LPDDR2-S4 Specs'!G18,IF('Device Config'!$B$40=2,'LPDDR2-S4 Specs'!M18,IF('Device Config'!$B$40=3,'LPDDR2-S4 Specs'!S18,IF('Device Config'!$B$40=4,'LPDDR2-S4 Specs'!Y18,'LPDDR2-S4 Specs'!AE18))))</f>
        <v>2</v>
      </c>
      <c r="H114" s="120">
        <f>IF('Device Config'!$B$40=1,'LPDDR2-S4 Specs'!H18,IF('Device Config'!$B$40=2,'LPDDR2-S4 Specs'!N18,IF('Device Config'!$B$40=3,'LPDDR2-S4 Specs'!T18,IF('Device Config'!$B$40=4,'LPDDR2-S4 Specs'!Z18,'LPDDR2-S4 Specs'!AF18))))</f>
        <v>2</v>
      </c>
      <c r="I114" s="120">
        <f>IF('Device Config'!$B$40=1,'LPDDR2-S4 Specs'!I18,IF('Device Config'!$B$40=2,'LPDDR2-S4 Specs'!O18,IF('Device Config'!$B$40=3,'LPDDR2-S4 Specs'!U18,IF('Device Config'!$B$40=4,'LPDDR2-S4 Specs'!AA18,'LPDDR2-S4 Specs'!AG18))))</f>
        <v>2</v>
      </c>
      <c r="J114" s="120"/>
      <c r="K114" s="120"/>
      <c r="L114" s="120"/>
      <c r="M114" s="120"/>
      <c r="N114" s="120">
        <f>HLOOKUP($N$99,$E$99:$I$190,16)</f>
        <v>2</v>
      </c>
      <c r="O114" s="120"/>
      <c r="P114" s="120"/>
      <c r="Q114" s="140"/>
      <c r="R114" s="140"/>
      <c r="S114" s="140"/>
      <c r="T114" s="140"/>
      <c r="U114" s="140"/>
      <c r="AC114" s="105"/>
    </row>
    <row r="115" spans="2:29" hidden="1">
      <c r="B115" s="118"/>
      <c r="C115" s="119"/>
      <c r="D115" s="118"/>
      <c r="E115" s="120">
        <f>IF('Device Config'!$B$40=1,'LPDDR2-S4 Specs'!E19,IF('Device Config'!$B$40=2,'LPDDR2-S4 Specs'!K19,IF('Device Config'!$B$40=3,'LPDDR2-S4 Specs'!Q19,IF('Device Config'!$B$40=4,'LPDDR2-S4 Specs'!W19,'LPDDR2-S4 Specs'!AC19))))</f>
        <v>1.2</v>
      </c>
      <c r="F115" s="120">
        <f>IF('Device Config'!$B$40=1,'LPDDR2-S4 Specs'!F19,IF('Device Config'!$B$40=2,'LPDDR2-S4 Specs'!L19,IF('Device Config'!$B$40=3,'LPDDR2-S4 Specs'!R19,IF('Device Config'!$B$40=4,'LPDDR2-S4 Specs'!X19,'LPDDR2-S4 Specs'!AD19))))</f>
        <v>1.2</v>
      </c>
      <c r="G115" s="120">
        <f>IF('Device Config'!$B$40=1,'LPDDR2-S4 Specs'!G19,IF('Device Config'!$B$40=2,'LPDDR2-S4 Specs'!M19,IF('Device Config'!$B$40=3,'LPDDR2-S4 Specs'!S19,IF('Device Config'!$B$40=4,'LPDDR2-S4 Specs'!Y19,'LPDDR2-S4 Specs'!AE19))))</f>
        <v>1.2</v>
      </c>
      <c r="H115" s="120">
        <f>IF('Device Config'!$B$40=1,'LPDDR2-S4 Specs'!H19,IF('Device Config'!$B$40=2,'LPDDR2-S4 Specs'!N19,IF('Device Config'!$B$40=3,'LPDDR2-S4 Specs'!T19,IF('Device Config'!$B$40=4,'LPDDR2-S4 Specs'!Z19,'LPDDR2-S4 Specs'!AF19))))</f>
        <v>1.2</v>
      </c>
      <c r="I115" s="120">
        <f>IF('Device Config'!$B$40=1,'LPDDR2-S4 Specs'!I19,IF('Device Config'!$B$40=2,'LPDDR2-S4 Specs'!O19,IF('Device Config'!$B$40=3,'LPDDR2-S4 Specs'!U19,IF('Device Config'!$B$40=4,'LPDDR2-S4 Specs'!AA19,'LPDDR2-S4 Specs'!AG19))))</f>
        <v>1.2</v>
      </c>
      <c r="J115" s="120"/>
      <c r="K115" s="120"/>
      <c r="L115" s="120"/>
      <c r="M115" s="120"/>
      <c r="N115" s="120">
        <f>HLOOKUP($N$99,$E$99:$I$190,17)</f>
        <v>1.2</v>
      </c>
      <c r="O115" s="120"/>
      <c r="P115" s="120"/>
      <c r="Q115" s="140"/>
      <c r="R115" s="140"/>
      <c r="S115" s="140"/>
      <c r="T115" s="140"/>
      <c r="U115" s="140"/>
      <c r="AC115" s="105"/>
    </row>
    <row r="116" spans="2:29" hidden="1">
      <c r="B116" s="118"/>
      <c r="C116" s="119"/>
      <c r="D116" s="118"/>
      <c r="E116" s="120">
        <f>IF('Device Config'!$B$40=1,'LPDDR2-S4 Specs'!E20,IF('Device Config'!$B$40=2,'LPDDR2-S4 Specs'!K20,IF('Device Config'!$B$40=3,'LPDDR2-S4 Specs'!Q20,IF('Device Config'!$B$40=4,'LPDDR2-S4 Specs'!W20,'LPDDR2-S4 Specs'!AC20))))</f>
        <v>1.2</v>
      </c>
      <c r="F116" s="120">
        <f>IF('Device Config'!$B$40=1,'LPDDR2-S4 Specs'!F20,IF('Device Config'!$B$40=2,'LPDDR2-S4 Specs'!L20,IF('Device Config'!$B$40=3,'LPDDR2-S4 Specs'!R20,IF('Device Config'!$B$40=4,'LPDDR2-S4 Specs'!X20,'LPDDR2-S4 Specs'!AD20))))</f>
        <v>1.2</v>
      </c>
      <c r="G116" s="120">
        <f>IF('Device Config'!$B$40=1,'LPDDR2-S4 Specs'!G20,IF('Device Config'!$B$40=2,'LPDDR2-S4 Specs'!M20,IF('Device Config'!$B$40=3,'LPDDR2-S4 Specs'!S20,IF('Device Config'!$B$40=4,'LPDDR2-S4 Specs'!Y20,'LPDDR2-S4 Specs'!AE20))))</f>
        <v>1.2</v>
      </c>
      <c r="H116" s="120">
        <f>IF('Device Config'!$B$40=1,'LPDDR2-S4 Specs'!H20,IF('Device Config'!$B$40=2,'LPDDR2-S4 Specs'!N20,IF('Device Config'!$B$40=3,'LPDDR2-S4 Specs'!T20,IF('Device Config'!$B$40=4,'LPDDR2-S4 Specs'!Z20,'LPDDR2-S4 Specs'!AF20))))</f>
        <v>1.2</v>
      </c>
      <c r="I116" s="120">
        <f>IF('Device Config'!$B$40=1,'LPDDR2-S4 Specs'!I20,IF('Device Config'!$B$40=2,'LPDDR2-S4 Specs'!O20,IF('Device Config'!$B$40=3,'LPDDR2-S4 Specs'!U20,IF('Device Config'!$B$40=4,'LPDDR2-S4 Specs'!AA20,'LPDDR2-S4 Specs'!AG20))))</f>
        <v>1.2</v>
      </c>
      <c r="J116" s="120"/>
      <c r="K116" s="120"/>
      <c r="L116" s="120"/>
      <c r="M116" s="120"/>
      <c r="N116" s="120">
        <f>HLOOKUP($N$99,$E$99:$I$190,18)</f>
        <v>1.2</v>
      </c>
      <c r="O116" s="120"/>
      <c r="P116" s="120"/>
      <c r="Q116" s="140"/>
      <c r="R116" s="140"/>
      <c r="S116" s="140"/>
      <c r="T116" s="140"/>
      <c r="U116" s="140"/>
      <c r="AC116" s="105"/>
    </row>
    <row r="117" spans="2:29" hidden="1">
      <c r="B117" s="118"/>
      <c r="C117" s="119"/>
      <c r="D117" s="118"/>
      <c r="E117" s="120">
        <f>IF('Device Config'!$B$40=1,'LPDDR2-S4 Specs'!E21,IF('Device Config'!$B$40=2,'LPDDR2-S4 Specs'!K21,IF('Device Config'!$B$40=3,'LPDDR2-S4 Specs'!Q21,IF('Device Config'!$B$40=4,'LPDDR2-S4 Specs'!W21,'LPDDR2-S4 Specs'!AC21))))</f>
        <v>1.2</v>
      </c>
      <c r="F117" s="120">
        <f>IF('Device Config'!$B$40=1,'LPDDR2-S4 Specs'!F21,IF('Device Config'!$B$40=2,'LPDDR2-S4 Specs'!L21,IF('Device Config'!$B$40=3,'LPDDR2-S4 Specs'!R21,IF('Device Config'!$B$40=4,'LPDDR2-S4 Specs'!X21,'LPDDR2-S4 Specs'!AD21))))</f>
        <v>1.2</v>
      </c>
      <c r="G117" s="120">
        <f>IF('Device Config'!$B$40=1,'LPDDR2-S4 Specs'!G21,IF('Device Config'!$B$40=2,'LPDDR2-S4 Specs'!M21,IF('Device Config'!$B$40=3,'LPDDR2-S4 Specs'!S21,IF('Device Config'!$B$40=4,'LPDDR2-S4 Specs'!Y21,'LPDDR2-S4 Specs'!AE21))))</f>
        <v>1.2</v>
      </c>
      <c r="H117" s="120">
        <f>IF('Device Config'!$B$40=1,'LPDDR2-S4 Specs'!H21,IF('Device Config'!$B$40=2,'LPDDR2-S4 Specs'!N21,IF('Device Config'!$B$40=3,'LPDDR2-S4 Specs'!T21,IF('Device Config'!$B$40=4,'LPDDR2-S4 Specs'!Z21,'LPDDR2-S4 Specs'!AF21))))</f>
        <v>1.2</v>
      </c>
      <c r="I117" s="120">
        <f>IF('Device Config'!$B$40=1,'LPDDR2-S4 Specs'!I21,IF('Device Config'!$B$40=2,'LPDDR2-S4 Specs'!O21,IF('Device Config'!$B$40=3,'LPDDR2-S4 Specs'!U21,IF('Device Config'!$B$40=4,'LPDDR2-S4 Specs'!AA21,'LPDDR2-S4 Specs'!AG21))))</f>
        <v>1.2</v>
      </c>
      <c r="J117" s="120"/>
      <c r="K117" s="120"/>
      <c r="L117" s="120"/>
      <c r="M117" s="120"/>
      <c r="N117" s="120">
        <f>HLOOKUP($N$99,$E$99:$I$190,19)</f>
        <v>1.2</v>
      </c>
      <c r="O117" s="120"/>
      <c r="P117" s="120"/>
      <c r="Q117" s="140"/>
      <c r="R117" s="140"/>
      <c r="S117" s="140"/>
      <c r="T117" s="140"/>
      <c r="U117" s="140"/>
      <c r="AC117" s="105"/>
    </row>
    <row r="118" spans="2:29" hidden="1">
      <c r="B118" s="118"/>
      <c r="C118" s="119"/>
      <c r="D118" s="118"/>
      <c r="E118" s="120">
        <f>IF('Device Config'!$B$40=1,'LPDDR2-S4 Specs'!E22,IF('Device Config'!$B$40=2,'LPDDR2-S4 Specs'!K22,IF('Device Config'!$B$40=3,'LPDDR2-S4 Specs'!Q22,IF('Device Config'!$B$40=4,'LPDDR2-S4 Specs'!W22,'LPDDR2-S4 Specs'!AC22))))</f>
        <v>1.2</v>
      </c>
      <c r="F118" s="120">
        <f>IF('Device Config'!$B$40=1,'LPDDR2-S4 Specs'!F22,IF('Device Config'!$B$40=2,'LPDDR2-S4 Specs'!L22,IF('Device Config'!$B$40=3,'LPDDR2-S4 Specs'!R22,IF('Device Config'!$B$40=4,'LPDDR2-S4 Specs'!X22,'LPDDR2-S4 Specs'!AD22))))</f>
        <v>1.2</v>
      </c>
      <c r="G118" s="120">
        <f>IF('Device Config'!$B$40=1,'LPDDR2-S4 Specs'!G22,IF('Device Config'!$B$40=2,'LPDDR2-S4 Specs'!M22,IF('Device Config'!$B$40=3,'LPDDR2-S4 Specs'!S22,IF('Device Config'!$B$40=4,'LPDDR2-S4 Specs'!Y22,'LPDDR2-S4 Specs'!AE22))))</f>
        <v>1.2</v>
      </c>
      <c r="H118" s="120">
        <f>IF('Device Config'!$B$40=1,'LPDDR2-S4 Specs'!H22,IF('Device Config'!$B$40=2,'LPDDR2-S4 Specs'!N22,IF('Device Config'!$B$40=3,'LPDDR2-S4 Specs'!T22,IF('Device Config'!$B$40=4,'LPDDR2-S4 Specs'!Z22,'LPDDR2-S4 Specs'!AF22))))</f>
        <v>1.2</v>
      </c>
      <c r="I118" s="120">
        <f>IF('Device Config'!$B$40=1,'LPDDR2-S4 Specs'!I22,IF('Device Config'!$B$40=2,'LPDDR2-S4 Specs'!O22,IF('Device Config'!$B$40=3,'LPDDR2-S4 Specs'!U22,IF('Device Config'!$B$40=4,'LPDDR2-S4 Specs'!AA22,'LPDDR2-S4 Specs'!AG22))))</f>
        <v>1.2</v>
      </c>
      <c r="J118" s="120"/>
      <c r="K118" s="120"/>
      <c r="L118" s="120"/>
      <c r="M118" s="120"/>
      <c r="N118" s="120">
        <f>HLOOKUP($N$99,$E$99:$I$190,20)</f>
        <v>1.2</v>
      </c>
      <c r="O118" s="120"/>
      <c r="P118" s="120"/>
      <c r="Q118" s="140"/>
      <c r="R118" s="140"/>
      <c r="S118" s="140"/>
      <c r="T118" s="140"/>
      <c r="U118" s="140"/>
      <c r="AC118" s="105"/>
    </row>
    <row r="119" spans="2:29" hidden="1">
      <c r="B119" s="118"/>
      <c r="C119" s="119"/>
      <c r="D119" s="118"/>
      <c r="E119" s="120">
        <f>IF('Device Config'!$B$40=1,'LPDDR2-S4 Specs'!E23,IF('Device Config'!$B$40=2,'LPDDR2-S4 Specs'!K23,IF('Device Config'!$B$40=3,'LPDDR2-S4 Specs'!Q23,IF('Device Config'!$B$40=4,'LPDDR2-S4 Specs'!W23,'LPDDR2-S4 Specs'!AC23))))</f>
        <v>2.5</v>
      </c>
      <c r="F119" s="120">
        <f>IF('Device Config'!$B$40=1,'LPDDR2-S4 Specs'!F23,IF('Device Config'!$B$40=2,'LPDDR2-S4 Specs'!L23,IF('Device Config'!$B$40=3,'LPDDR2-S4 Specs'!R23,IF('Device Config'!$B$40=4,'LPDDR2-S4 Specs'!X23,'LPDDR2-S4 Specs'!AD23))))</f>
        <v>2.5</v>
      </c>
      <c r="G119" s="120">
        <f>IF('Device Config'!$B$40=1,'LPDDR2-S4 Specs'!G23,IF('Device Config'!$B$40=2,'LPDDR2-S4 Specs'!M23,IF('Device Config'!$B$40=3,'LPDDR2-S4 Specs'!S23,IF('Device Config'!$B$40=4,'LPDDR2-S4 Specs'!Y23,'LPDDR2-S4 Specs'!AE23))))</f>
        <v>2.5</v>
      </c>
      <c r="H119" s="120">
        <f>IF('Device Config'!$B$40=1,'LPDDR2-S4 Specs'!H23,IF('Device Config'!$B$40=2,'LPDDR2-S4 Specs'!N23,IF('Device Config'!$B$40=3,'LPDDR2-S4 Specs'!T23,IF('Device Config'!$B$40=4,'LPDDR2-S4 Specs'!Z23,'LPDDR2-S4 Specs'!AF23))))</f>
        <v>2.5</v>
      </c>
      <c r="I119" s="120">
        <f>IF('Device Config'!$B$40=1,'LPDDR2-S4 Specs'!I23,IF('Device Config'!$B$40=2,'LPDDR2-S4 Specs'!O23,IF('Device Config'!$B$40=3,'LPDDR2-S4 Specs'!U23,IF('Device Config'!$B$40=4,'LPDDR2-S4 Specs'!AA23,'LPDDR2-S4 Specs'!AG23))))</f>
        <v>2.5</v>
      </c>
      <c r="J119" s="120"/>
      <c r="K119" s="120"/>
      <c r="L119" s="120"/>
      <c r="M119" s="120"/>
      <c r="N119" s="120">
        <f>HLOOKUP($N$99,$E$99:$I$190,21)</f>
        <v>2.5</v>
      </c>
      <c r="O119" s="120"/>
      <c r="P119" s="120"/>
      <c r="Q119" s="140"/>
      <c r="R119" s="140"/>
      <c r="S119" s="140"/>
      <c r="T119" s="140"/>
      <c r="U119" s="140"/>
      <c r="AC119" s="105"/>
    </row>
    <row r="120" spans="2:29" hidden="1">
      <c r="B120" s="118"/>
      <c r="C120" s="119"/>
      <c r="D120" s="118"/>
      <c r="E120" s="120">
        <f>IF('Device Config'!$B$40=1,'LPDDR2-S4 Specs'!E24,IF('Device Config'!$B$40=2,'LPDDR2-S4 Specs'!K24,IF('Device Config'!$B$40=3,'LPDDR2-S4 Specs'!Q24,IF('Device Config'!$B$40=4,'LPDDR2-S4 Specs'!W24,'LPDDR2-S4 Specs'!AC24))))</f>
        <v>2.5</v>
      </c>
      <c r="F120" s="120">
        <f>IF('Device Config'!$B$40=1,'LPDDR2-S4 Specs'!F24,IF('Device Config'!$B$40=2,'LPDDR2-S4 Specs'!L24,IF('Device Config'!$B$40=3,'LPDDR2-S4 Specs'!R24,IF('Device Config'!$B$40=4,'LPDDR2-S4 Specs'!X24,'LPDDR2-S4 Specs'!AD24))))</f>
        <v>2.5</v>
      </c>
      <c r="G120" s="120">
        <f>IF('Device Config'!$B$40=1,'LPDDR2-S4 Specs'!G24,IF('Device Config'!$B$40=2,'LPDDR2-S4 Specs'!M24,IF('Device Config'!$B$40=3,'LPDDR2-S4 Specs'!S24,IF('Device Config'!$B$40=4,'LPDDR2-S4 Specs'!Y24,'LPDDR2-S4 Specs'!AE24))))</f>
        <v>2.5</v>
      </c>
      <c r="H120" s="120">
        <f>IF('Device Config'!$B$40=1,'LPDDR2-S4 Specs'!H24,IF('Device Config'!$B$40=2,'LPDDR2-S4 Specs'!N24,IF('Device Config'!$B$40=3,'LPDDR2-S4 Specs'!T24,IF('Device Config'!$B$40=4,'LPDDR2-S4 Specs'!Z24,'LPDDR2-S4 Specs'!AF24))))</f>
        <v>2.5</v>
      </c>
      <c r="I120" s="120">
        <f>IF('Device Config'!$B$40=1,'LPDDR2-S4 Specs'!I24,IF('Device Config'!$B$40=2,'LPDDR2-S4 Specs'!O24,IF('Device Config'!$B$40=3,'LPDDR2-S4 Specs'!U24,IF('Device Config'!$B$40=4,'LPDDR2-S4 Specs'!AA24,'LPDDR2-S4 Specs'!AG24))))</f>
        <v>2.5</v>
      </c>
      <c r="J120" s="120"/>
      <c r="K120" s="120"/>
      <c r="L120" s="120"/>
      <c r="M120" s="120"/>
      <c r="N120" s="120">
        <f>HLOOKUP($N$99,$E$99:$I$190,22)</f>
        <v>2.5</v>
      </c>
      <c r="O120" s="120"/>
      <c r="P120" s="120"/>
      <c r="Q120" s="140"/>
      <c r="R120" s="140"/>
      <c r="S120" s="140"/>
      <c r="T120" s="140"/>
      <c r="U120" s="140"/>
      <c r="AC120" s="105"/>
    </row>
    <row r="121" spans="2:29" hidden="1">
      <c r="B121" s="118"/>
      <c r="C121" s="119"/>
      <c r="D121" s="118"/>
      <c r="E121" s="120">
        <f>IF('Device Config'!$B$40=1,'LPDDR2-S4 Specs'!E25,IF('Device Config'!$B$40=2,'LPDDR2-S4 Specs'!K25,IF('Device Config'!$B$40=3,'LPDDR2-S4 Specs'!Q25,IF('Device Config'!$B$40=4,'LPDDR2-S4 Specs'!W25,'LPDDR2-S4 Specs'!AC25))))</f>
        <v>3</v>
      </c>
      <c r="F121" s="120">
        <f>IF('Device Config'!$B$40=1,'LPDDR2-S4 Specs'!F25,IF('Device Config'!$B$40=2,'LPDDR2-S4 Specs'!L25,IF('Device Config'!$B$40=3,'LPDDR2-S4 Specs'!R25,IF('Device Config'!$B$40=4,'LPDDR2-S4 Specs'!X25,'LPDDR2-S4 Specs'!AD25))))</f>
        <v>3</v>
      </c>
      <c r="G121" s="120">
        <f>IF('Device Config'!$B$40=1,'LPDDR2-S4 Specs'!G25,IF('Device Config'!$B$40=2,'LPDDR2-S4 Specs'!M25,IF('Device Config'!$B$40=3,'LPDDR2-S4 Specs'!S25,IF('Device Config'!$B$40=4,'LPDDR2-S4 Specs'!Y25,'LPDDR2-S4 Specs'!AE25))))</f>
        <v>3</v>
      </c>
      <c r="H121" s="120">
        <f>IF('Device Config'!$B$40=1,'LPDDR2-S4 Specs'!H25,IF('Device Config'!$B$40=2,'LPDDR2-S4 Specs'!N25,IF('Device Config'!$B$40=3,'LPDDR2-S4 Specs'!T25,IF('Device Config'!$B$40=4,'LPDDR2-S4 Specs'!Z25,'LPDDR2-S4 Specs'!AF25))))</f>
        <v>3</v>
      </c>
      <c r="I121" s="120">
        <f>IF('Device Config'!$B$40=1,'LPDDR2-S4 Specs'!I25,IF('Device Config'!$B$40=2,'LPDDR2-S4 Specs'!O25,IF('Device Config'!$B$40=3,'LPDDR2-S4 Specs'!U25,IF('Device Config'!$B$40=4,'LPDDR2-S4 Specs'!AA25,'LPDDR2-S4 Specs'!AG25))))</f>
        <v>3</v>
      </c>
      <c r="J121" s="120"/>
      <c r="K121" s="120"/>
      <c r="L121" s="120"/>
      <c r="M121" s="120"/>
      <c r="N121" s="120">
        <f>HLOOKUP($N$99,$E$99:$I$190,23)</f>
        <v>3</v>
      </c>
      <c r="O121" s="120"/>
      <c r="P121" s="120"/>
      <c r="Q121" s="140"/>
      <c r="R121" s="140"/>
      <c r="S121" s="140"/>
      <c r="T121" s="140"/>
      <c r="U121" s="140"/>
      <c r="AC121" s="105"/>
    </row>
    <row r="122" spans="2:29" hidden="1">
      <c r="B122" s="118"/>
      <c r="C122" s="119"/>
      <c r="D122" s="118"/>
      <c r="E122" s="120">
        <f>IF('Device Config'!$B$40=1,'LPDDR2-S4 Specs'!E26,IF('Device Config'!$B$40=2,'LPDDR2-S4 Specs'!K26,IF('Device Config'!$B$40=3,'LPDDR2-S4 Specs'!Q26,IF('Device Config'!$B$40=4,'LPDDR2-S4 Specs'!W26,'LPDDR2-S4 Specs'!AC26))))</f>
        <v>3</v>
      </c>
      <c r="F122" s="120">
        <f>IF('Device Config'!$B$40=1,'LPDDR2-S4 Specs'!F26,IF('Device Config'!$B$40=2,'LPDDR2-S4 Specs'!L26,IF('Device Config'!$B$40=3,'LPDDR2-S4 Specs'!R26,IF('Device Config'!$B$40=4,'LPDDR2-S4 Specs'!X26,'LPDDR2-S4 Specs'!AD26))))</f>
        <v>3</v>
      </c>
      <c r="G122" s="120">
        <f>IF('Device Config'!$B$40=1,'LPDDR2-S4 Specs'!G26,IF('Device Config'!$B$40=2,'LPDDR2-S4 Specs'!M26,IF('Device Config'!$B$40=3,'LPDDR2-S4 Specs'!S26,IF('Device Config'!$B$40=4,'LPDDR2-S4 Specs'!Y26,'LPDDR2-S4 Specs'!AE26))))</f>
        <v>3</v>
      </c>
      <c r="H122" s="120">
        <f>IF('Device Config'!$B$40=1,'LPDDR2-S4 Specs'!H26,IF('Device Config'!$B$40=2,'LPDDR2-S4 Specs'!N26,IF('Device Config'!$B$40=3,'LPDDR2-S4 Specs'!T26,IF('Device Config'!$B$40=4,'LPDDR2-S4 Specs'!Z26,'LPDDR2-S4 Specs'!AF26))))</f>
        <v>3</v>
      </c>
      <c r="I122" s="120">
        <f>IF('Device Config'!$B$40=1,'LPDDR2-S4 Specs'!I26,IF('Device Config'!$B$40=2,'LPDDR2-S4 Specs'!O26,IF('Device Config'!$B$40=3,'LPDDR2-S4 Specs'!U26,IF('Device Config'!$B$40=4,'LPDDR2-S4 Specs'!AA26,'LPDDR2-S4 Specs'!AG26))))</f>
        <v>3</v>
      </c>
      <c r="J122" s="120"/>
      <c r="K122" s="120"/>
      <c r="L122" s="120"/>
      <c r="M122" s="120"/>
      <c r="N122" s="120">
        <f>HLOOKUP($N$99,$E$99:$I$190,24)</f>
        <v>3</v>
      </c>
      <c r="O122" s="120"/>
      <c r="P122" s="120"/>
      <c r="Q122" s="140"/>
      <c r="R122" s="140"/>
      <c r="S122" s="140"/>
      <c r="T122" s="140"/>
      <c r="U122" s="140"/>
      <c r="AC122" s="105"/>
    </row>
    <row r="123" spans="2:29" hidden="1">
      <c r="B123" s="118"/>
      <c r="C123" s="119"/>
      <c r="D123" s="118"/>
      <c r="E123" s="120">
        <f>IF('Device Config'!$B$40=1,'LPDDR2-S4 Specs'!E27,IF('Device Config'!$B$40=2,'LPDDR2-S4 Specs'!K27,IF('Device Config'!$B$40=3,'LPDDR2-S4 Specs'!Q27,IF('Device Config'!$B$40=4,'LPDDR2-S4 Specs'!W27,'LPDDR2-S4 Specs'!AC27))))</f>
        <v>10</v>
      </c>
      <c r="F123" s="120">
        <f>IF('Device Config'!$B$40=1,'LPDDR2-S4 Specs'!F27,IF('Device Config'!$B$40=2,'LPDDR2-S4 Specs'!L27,IF('Device Config'!$B$40=3,'LPDDR2-S4 Specs'!R27,IF('Device Config'!$B$40=4,'LPDDR2-S4 Specs'!X27,'LPDDR2-S4 Specs'!AD27))))</f>
        <v>10</v>
      </c>
      <c r="G123" s="120">
        <f>IF('Device Config'!$B$40=1,'LPDDR2-S4 Specs'!G27,IF('Device Config'!$B$40=2,'LPDDR2-S4 Specs'!M27,IF('Device Config'!$B$40=3,'LPDDR2-S4 Specs'!S27,IF('Device Config'!$B$40=4,'LPDDR2-S4 Specs'!Y27,'LPDDR2-S4 Specs'!AE27))))</f>
        <v>10</v>
      </c>
      <c r="H123" s="120">
        <f>IF('Device Config'!$B$40=1,'LPDDR2-S4 Specs'!H27,IF('Device Config'!$B$40=2,'LPDDR2-S4 Specs'!N27,IF('Device Config'!$B$40=3,'LPDDR2-S4 Specs'!T27,IF('Device Config'!$B$40=4,'LPDDR2-S4 Specs'!Z27,'LPDDR2-S4 Specs'!AF27))))</f>
        <v>10</v>
      </c>
      <c r="I123" s="120">
        <f>IF('Device Config'!$B$40=1,'LPDDR2-S4 Specs'!I27,IF('Device Config'!$B$40=2,'LPDDR2-S4 Specs'!O27,IF('Device Config'!$B$40=3,'LPDDR2-S4 Specs'!U27,IF('Device Config'!$B$40=4,'LPDDR2-S4 Specs'!AA27,'LPDDR2-S4 Specs'!AG27))))</f>
        <v>10</v>
      </c>
      <c r="J123" s="120"/>
      <c r="K123" s="120"/>
      <c r="L123" s="120"/>
      <c r="M123" s="120"/>
      <c r="N123" s="120">
        <f>HLOOKUP($N$99,$E$99:$I$190,25)</f>
        <v>10</v>
      </c>
      <c r="O123" s="120"/>
      <c r="P123" s="120"/>
      <c r="Q123" s="140"/>
      <c r="R123" s="140"/>
      <c r="S123" s="140"/>
      <c r="T123" s="140"/>
      <c r="U123" s="140"/>
      <c r="AC123" s="105"/>
    </row>
    <row r="124" spans="2:29" ht="16.5" hidden="1" customHeight="1">
      <c r="B124" s="118"/>
      <c r="C124" s="119"/>
      <c r="D124" s="118"/>
      <c r="E124" s="120">
        <f>IF('Device Config'!$B$40=1,'LPDDR2-S4 Specs'!E28,IF('Device Config'!$B$40=2,'LPDDR2-S4 Specs'!K28,IF('Device Config'!$B$40=3,'LPDDR2-S4 Specs'!Q28,IF('Device Config'!$B$40=4,'LPDDR2-S4 Specs'!W28,'LPDDR2-S4 Specs'!AC28))))</f>
        <v>10</v>
      </c>
      <c r="F124" s="120">
        <f>IF('Device Config'!$B$40=1,'LPDDR2-S4 Specs'!F28,IF('Device Config'!$B$40=2,'LPDDR2-S4 Specs'!L28,IF('Device Config'!$B$40=3,'LPDDR2-S4 Specs'!R28,IF('Device Config'!$B$40=4,'LPDDR2-S4 Specs'!X28,'LPDDR2-S4 Specs'!AD28))))</f>
        <v>10</v>
      </c>
      <c r="G124" s="120">
        <f>IF('Device Config'!$B$40=1,'LPDDR2-S4 Specs'!G28,IF('Device Config'!$B$40=2,'LPDDR2-S4 Specs'!M28,IF('Device Config'!$B$40=3,'LPDDR2-S4 Specs'!S28,IF('Device Config'!$B$40=4,'LPDDR2-S4 Specs'!Y28,'LPDDR2-S4 Specs'!AE28))))</f>
        <v>10</v>
      </c>
      <c r="H124" s="120">
        <f>IF('Device Config'!$B$40=1,'LPDDR2-S4 Specs'!H28,IF('Device Config'!$B$40=2,'LPDDR2-S4 Specs'!N28,IF('Device Config'!$B$40=3,'LPDDR2-S4 Specs'!T28,IF('Device Config'!$B$40=4,'LPDDR2-S4 Specs'!Z28,'LPDDR2-S4 Specs'!AF28))))</f>
        <v>10</v>
      </c>
      <c r="I124" s="120">
        <f>IF('Device Config'!$B$40=1,'LPDDR2-S4 Specs'!I28,IF('Device Config'!$B$40=2,'LPDDR2-S4 Specs'!O28,IF('Device Config'!$B$40=3,'LPDDR2-S4 Specs'!U28,IF('Device Config'!$B$40=4,'LPDDR2-S4 Specs'!AA28,'LPDDR2-S4 Specs'!AG28))))</f>
        <v>10</v>
      </c>
      <c r="J124" s="120"/>
      <c r="K124" s="120"/>
      <c r="L124" s="120"/>
      <c r="M124" s="120"/>
      <c r="N124" s="120">
        <f>HLOOKUP($N$99,$E$99:$I$190,26)</f>
        <v>10</v>
      </c>
      <c r="O124" s="120"/>
      <c r="P124" s="120"/>
      <c r="Q124" s="140"/>
      <c r="R124" s="140"/>
      <c r="S124" s="140"/>
      <c r="T124" s="140"/>
      <c r="U124" s="140"/>
      <c r="AC124" s="105"/>
    </row>
    <row r="125" spans="2:29" ht="16.5" hidden="1" customHeight="1">
      <c r="B125" s="118"/>
      <c r="C125" s="119"/>
      <c r="D125" s="118"/>
      <c r="E125" s="120">
        <f>IF('Device Config'!$B$40=1,'LPDDR2-S4 Specs'!E29,IF('Device Config'!$B$40=2,'LPDDR2-S4 Specs'!K29,IF('Device Config'!$B$40=3,'LPDDR2-S4 Specs'!Q29,IF('Device Config'!$B$40=4,'LPDDR2-S4 Specs'!W29,'LPDDR2-S4 Specs'!AC29))))</f>
        <v>40</v>
      </c>
      <c r="F125" s="120">
        <f>IF('Device Config'!$B$40=1,'LPDDR2-S4 Specs'!F29,IF('Device Config'!$B$40=2,'LPDDR2-S4 Specs'!L29,IF('Device Config'!$B$40=3,'LPDDR2-S4 Specs'!R29,IF('Device Config'!$B$40=4,'LPDDR2-S4 Specs'!X29,'LPDDR2-S4 Specs'!AD29))))</f>
        <v>40</v>
      </c>
      <c r="G125" s="120">
        <f>IF('Device Config'!$B$40=1,'LPDDR2-S4 Specs'!G29,IF('Device Config'!$B$40=2,'LPDDR2-S4 Specs'!M29,IF('Device Config'!$B$40=3,'LPDDR2-S4 Specs'!S29,IF('Device Config'!$B$40=4,'LPDDR2-S4 Specs'!Y29,'LPDDR2-S4 Specs'!AE29))))</f>
        <v>40</v>
      </c>
      <c r="H125" s="120">
        <f>IF('Device Config'!$B$40=1,'LPDDR2-S4 Specs'!H29,IF('Device Config'!$B$40=2,'LPDDR2-S4 Specs'!N29,IF('Device Config'!$B$40=3,'LPDDR2-S4 Specs'!T29,IF('Device Config'!$B$40=4,'LPDDR2-S4 Specs'!Z29,'LPDDR2-S4 Specs'!AF29))))</f>
        <v>40</v>
      </c>
      <c r="I125" s="120">
        <f>IF('Device Config'!$B$40=1,'LPDDR2-S4 Specs'!I29,IF('Device Config'!$B$40=2,'LPDDR2-S4 Specs'!O29,IF('Device Config'!$B$40=3,'LPDDR2-S4 Specs'!U29,IF('Device Config'!$B$40=4,'LPDDR2-S4 Specs'!AA29,'LPDDR2-S4 Specs'!AG29))))</f>
        <v>40</v>
      </c>
      <c r="J125" s="120"/>
      <c r="K125" s="120"/>
      <c r="L125" s="120"/>
      <c r="M125" s="120"/>
      <c r="N125" s="120">
        <f>HLOOKUP($N$99,$E$99:$I$190,27)</f>
        <v>40</v>
      </c>
      <c r="O125" s="120"/>
      <c r="P125" s="120"/>
      <c r="Q125" s="140"/>
      <c r="R125" s="140"/>
      <c r="S125" s="140"/>
      <c r="T125" s="140"/>
      <c r="U125" s="140"/>
      <c r="AC125" s="105"/>
    </row>
    <row r="126" spans="2:29" ht="16.5" hidden="1" customHeight="1">
      <c r="B126" s="118"/>
      <c r="C126" s="119"/>
      <c r="D126" s="118"/>
      <c r="E126" s="120">
        <f>IF('Device Config'!$B$40=1,'LPDDR2-S4 Specs'!E30,IF('Device Config'!$B$40=2,'LPDDR2-S4 Specs'!K30,IF('Device Config'!$B$40=3,'LPDDR2-S4 Specs'!Q30,IF('Device Config'!$B$40=4,'LPDDR2-S4 Specs'!W30,'LPDDR2-S4 Specs'!AC30))))</f>
        <v>40</v>
      </c>
      <c r="F126" s="120">
        <f>IF('Device Config'!$B$40=1,'LPDDR2-S4 Specs'!F30,IF('Device Config'!$B$40=2,'LPDDR2-S4 Specs'!L30,IF('Device Config'!$B$40=3,'LPDDR2-S4 Specs'!R30,IF('Device Config'!$B$40=4,'LPDDR2-S4 Specs'!X30,'LPDDR2-S4 Specs'!AD30))))</f>
        <v>40</v>
      </c>
      <c r="G126" s="120">
        <f>IF('Device Config'!$B$40=1,'LPDDR2-S4 Specs'!G30,IF('Device Config'!$B$40=2,'LPDDR2-S4 Specs'!M30,IF('Device Config'!$B$40=3,'LPDDR2-S4 Specs'!S30,IF('Device Config'!$B$40=4,'LPDDR2-S4 Specs'!Y30,'LPDDR2-S4 Specs'!AE30))))</f>
        <v>40</v>
      </c>
      <c r="H126" s="120">
        <f>IF('Device Config'!$B$40=1,'LPDDR2-S4 Specs'!H30,IF('Device Config'!$B$40=2,'LPDDR2-S4 Specs'!N30,IF('Device Config'!$B$40=3,'LPDDR2-S4 Specs'!T30,IF('Device Config'!$B$40=4,'LPDDR2-S4 Specs'!Z30,'LPDDR2-S4 Specs'!AF30))))</f>
        <v>40</v>
      </c>
      <c r="I126" s="120">
        <f>IF('Device Config'!$B$40=1,'LPDDR2-S4 Specs'!I30,IF('Device Config'!$B$40=2,'LPDDR2-S4 Specs'!O30,IF('Device Config'!$B$40=3,'LPDDR2-S4 Specs'!U30,IF('Device Config'!$B$40=4,'LPDDR2-S4 Specs'!AA30,'LPDDR2-S4 Specs'!AG30))))</f>
        <v>40</v>
      </c>
      <c r="J126" s="120"/>
      <c r="K126" s="120"/>
      <c r="L126" s="120"/>
      <c r="M126" s="120"/>
      <c r="N126" s="120">
        <f>HLOOKUP($N$99,$E$99:$I$190,28)</f>
        <v>40</v>
      </c>
      <c r="O126" s="120"/>
      <c r="P126" s="120"/>
      <c r="Q126" s="140"/>
      <c r="R126" s="140"/>
      <c r="S126" s="140"/>
      <c r="T126" s="140"/>
      <c r="U126" s="140"/>
      <c r="AC126" s="105"/>
    </row>
    <row r="127" spans="2:29" ht="16.5" hidden="1" customHeight="1">
      <c r="B127" s="118"/>
      <c r="C127" s="119"/>
      <c r="D127" s="118"/>
      <c r="E127" s="120">
        <f>IF('Device Config'!$B$40=1,'LPDDR2-S4 Specs'!E31,IF('Device Config'!$B$40=2,'LPDDR2-S4 Specs'!K31,IF('Device Config'!$B$40=3,'LPDDR2-S4 Specs'!Q31,IF('Device Config'!$B$40=4,'LPDDR2-S4 Specs'!W31,'LPDDR2-S4 Specs'!AC31))))</f>
        <v>1</v>
      </c>
      <c r="F127" s="120">
        <f>IF('Device Config'!$B$40=1,'LPDDR2-S4 Specs'!F31,IF('Device Config'!$B$40=2,'LPDDR2-S4 Specs'!L31,IF('Device Config'!$B$40=3,'LPDDR2-S4 Specs'!R31,IF('Device Config'!$B$40=4,'LPDDR2-S4 Specs'!X31,'LPDDR2-S4 Specs'!AD31))))</f>
        <v>1</v>
      </c>
      <c r="G127" s="120">
        <f>IF('Device Config'!$B$40=1,'LPDDR2-S4 Specs'!G31,IF('Device Config'!$B$40=2,'LPDDR2-S4 Specs'!M31,IF('Device Config'!$B$40=3,'LPDDR2-S4 Specs'!S31,IF('Device Config'!$B$40=4,'LPDDR2-S4 Specs'!Y31,'LPDDR2-S4 Specs'!AE31))))</f>
        <v>1</v>
      </c>
      <c r="H127" s="120">
        <f>IF('Device Config'!$B$40=1,'LPDDR2-S4 Specs'!H31,IF('Device Config'!$B$40=2,'LPDDR2-S4 Specs'!N31,IF('Device Config'!$B$40=3,'LPDDR2-S4 Specs'!T31,IF('Device Config'!$B$40=4,'LPDDR2-S4 Specs'!Z31,'LPDDR2-S4 Specs'!AF31))))</f>
        <v>1</v>
      </c>
      <c r="I127" s="120">
        <f>IF('Device Config'!$B$40=1,'LPDDR2-S4 Specs'!I31,IF('Device Config'!$B$40=2,'LPDDR2-S4 Specs'!O31,IF('Device Config'!$B$40=3,'LPDDR2-S4 Specs'!U31,IF('Device Config'!$B$40=4,'LPDDR2-S4 Specs'!AA31,'LPDDR2-S4 Specs'!AG31))))</f>
        <v>1</v>
      </c>
      <c r="J127" s="120"/>
      <c r="K127" s="120"/>
      <c r="L127" s="120"/>
      <c r="M127" s="120"/>
      <c r="N127" s="120">
        <f>HLOOKUP($N$99,$E$99:$I$190,29)</f>
        <v>1</v>
      </c>
      <c r="O127" s="120"/>
      <c r="P127" s="120"/>
      <c r="Q127" s="140"/>
      <c r="R127" s="140"/>
      <c r="S127" s="140"/>
      <c r="T127" s="140"/>
      <c r="U127" s="140"/>
      <c r="AC127" s="105"/>
    </row>
    <row r="128" spans="2:29" ht="16.5" hidden="1" customHeight="1">
      <c r="B128" s="118"/>
      <c r="C128" s="119"/>
      <c r="D128" s="118"/>
      <c r="E128" s="120">
        <f>IF('Device Config'!$B$40=1,'LPDDR2-S4 Specs'!E32,IF('Device Config'!$B$40=2,'LPDDR2-S4 Specs'!K32,IF('Device Config'!$B$40=3,'LPDDR2-S4 Specs'!Q32,IF('Device Config'!$B$40=4,'LPDDR2-S4 Specs'!W32,'LPDDR2-S4 Specs'!AC32))))</f>
        <v>1</v>
      </c>
      <c r="F128" s="120">
        <f>IF('Device Config'!$B$40=1,'LPDDR2-S4 Specs'!F32,IF('Device Config'!$B$40=2,'LPDDR2-S4 Specs'!L32,IF('Device Config'!$B$40=3,'LPDDR2-S4 Specs'!R32,IF('Device Config'!$B$40=4,'LPDDR2-S4 Specs'!X32,'LPDDR2-S4 Specs'!AD32))))</f>
        <v>1</v>
      </c>
      <c r="G128" s="120">
        <f>IF('Device Config'!$B$40=1,'LPDDR2-S4 Specs'!G32,IF('Device Config'!$B$40=2,'LPDDR2-S4 Specs'!M32,IF('Device Config'!$B$40=3,'LPDDR2-S4 Specs'!S32,IF('Device Config'!$B$40=4,'LPDDR2-S4 Specs'!Y32,'LPDDR2-S4 Specs'!AE32))))</f>
        <v>1</v>
      </c>
      <c r="H128" s="120">
        <f>IF('Device Config'!$B$40=1,'LPDDR2-S4 Specs'!H32,IF('Device Config'!$B$40=2,'LPDDR2-S4 Specs'!N32,IF('Device Config'!$B$40=3,'LPDDR2-S4 Specs'!T32,IF('Device Config'!$B$40=4,'LPDDR2-S4 Specs'!Z32,'LPDDR2-S4 Specs'!AF32))))</f>
        <v>1</v>
      </c>
      <c r="I128" s="120">
        <f>IF('Device Config'!$B$40=1,'LPDDR2-S4 Specs'!I32,IF('Device Config'!$B$40=2,'LPDDR2-S4 Specs'!O32,IF('Device Config'!$B$40=3,'LPDDR2-S4 Specs'!U32,IF('Device Config'!$B$40=4,'LPDDR2-S4 Specs'!AA32,'LPDDR2-S4 Specs'!AG32))))</f>
        <v>1</v>
      </c>
      <c r="J128" s="120"/>
      <c r="K128" s="120"/>
      <c r="L128" s="120"/>
      <c r="M128" s="120"/>
      <c r="N128" s="120">
        <f>HLOOKUP($N$99,$E$99:$I$190,30)</f>
        <v>1</v>
      </c>
      <c r="O128" s="120"/>
      <c r="P128" s="120"/>
      <c r="Q128" s="140"/>
      <c r="R128" s="140"/>
      <c r="S128" s="140"/>
      <c r="T128" s="140"/>
      <c r="U128" s="140"/>
      <c r="AC128" s="105"/>
    </row>
    <row r="129" spans="2:29" ht="16.5" hidden="1" customHeight="1">
      <c r="B129" s="118"/>
      <c r="C129" s="119"/>
      <c r="D129" s="118"/>
      <c r="E129" s="120">
        <f>IF('Device Config'!$B$40=1,'LPDDR2-S4 Specs'!E33,IF('Device Config'!$B$40=2,'LPDDR2-S4 Specs'!K33,IF('Device Config'!$B$40=3,'LPDDR2-S4 Specs'!Q33,IF('Device Config'!$B$40=4,'LPDDR2-S4 Specs'!W33,'LPDDR2-S4 Specs'!AC33))))</f>
        <v>2.5000000000000001E-2</v>
      </c>
      <c r="F129" s="120">
        <f>IF('Device Config'!$B$40=1,'LPDDR2-S4 Specs'!F33,IF('Device Config'!$B$40=2,'LPDDR2-S4 Specs'!L33,IF('Device Config'!$B$40=3,'LPDDR2-S4 Specs'!R33,IF('Device Config'!$B$40=4,'LPDDR2-S4 Specs'!X33,'LPDDR2-S4 Specs'!AD33))))</f>
        <v>2.5000000000000001E-2</v>
      </c>
      <c r="G129" s="120">
        <f>IF('Device Config'!$B$40=1,'LPDDR2-S4 Specs'!G33,IF('Device Config'!$B$40=2,'LPDDR2-S4 Specs'!M33,IF('Device Config'!$B$40=3,'LPDDR2-S4 Specs'!S33,IF('Device Config'!$B$40=4,'LPDDR2-S4 Specs'!Y33,'LPDDR2-S4 Specs'!AE33))))</f>
        <v>2.5000000000000001E-2</v>
      </c>
      <c r="H129" s="120">
        <f>IF('Device Config'!$B$40=1,'LPDDR2-S4 Specs'!H33,IF('Device Config'!$B$40=2,'LPDDR2-S4 Specs'!N33,IF('Device Config'!$B$40=3,'LPDDR2-S4 Specs'!T33,IF('Device Config'!$B$40=4,'LPDDR2-S4 Specs'!Z33,'LPDDR2-S4 Specs'!AF33))))</f>
        <v>2.5000000000000001E-2</v>
      </c>
      <c r="I129" s="120">
        <f>IF('Device Config'!$B$40=1,'LPDDR2-S4 Specs'!I33,IF('Device Config'!$B$40=2,'LPDDR2-S4 Specs'!O33,IF('Device Config'!$B$40=3,'LPDDR2-S4 Specs'!U33,IF('Device Config'!$B$40=4,'LPDDR2-S4 Specs'!AA33,'LPDDR2-S4 Specs'!AG33))))</f>
        <v>2.5000000000000001E-2</v>
      </c>
      <c r="J129" s="120"/>
      <c r="K129" s="120"/>
      <c r="L129" s="120"/>
      <c r="M129" s="120"/>
      <c r="N129" s="120">
        <f>HLOOKUP($N$99,$E$99:$I$190,31)</f>
        <v>2.5000000000000001E-2</v>
      </c>
      <c r="O129" s="120"/>
      <c r="P129" s="120"/>
      <c r="Q129" s="140"/>
      <c r="R129" s="140"/>
      <c r="S129" s="140"/>
      <c r="T129" s="140"/>
      <c r="U129" s="140"/>
      <c r="AC129" s="105"/>
    </row>
    <row r="130" spans="2:29" ht="16.5" hidden="1" customHeight="1">
      <c r="B130" s="118"/>
      <c r="C130" s="119"/>
      <c r="D130" s="118"/>
      <c r="E130" s="120">
        <f>IF('Device Config'!$B$40=1,'LPDDR2-S4 Specs'!E34,IF('Device Config'!$B$40=2,'LPDDR2-S4 Specs'!K34,IF('Device Config'!$B$40=3,'LPDDR2-S4 Specs'!Q34,IF('Device Config'!$B$40=4,'LPDDR2-S4 Specs'!W34,'LPDDR2-S4 Specs'!AC34))))</f>
        <v>2.5000000000000001E-2</v>
      </c>
      <c r="F130" s="120">
        <f>IF('Device Config'!$B$40=1,'LPDDR2-S4 Specs'!F34,IF('Device Config'!$B$40=2,'LPDDR2-S4 Specs'!L34,IF('Device Config'!$B$40=3,'LPDDR2-S4 Specs'!R34,IF('Device Config'!$B$40=4,'LPDDR2-S4 Specs'!X34,'LPDDR2-S4 Specs'!AD34))))</f>
        <v>2.5000000000000001E-2</v>
      </c>
      <c r="G130" s="120">
        <f>IF('Device Config'!$B$40=1,'LPDDR2-S4 Specs'!G34,IF('Device Config'!$B$40=2,'LPDDR2-S4 Specs'!M34,IF('Device Config'!$B$40=3,'LPDDR2-S4 Specs'!S34,IF('Device Config'!$B$40=4,'LPDDR2-S4 Specs'!Y34,'LPDDR2-S4 Specs'!AE34))))</f>
        <v>2.5000000000000001E-2</v>
      </c>
      <c r="H130" s="120">
        <f>IF('Device Config'!$B$40=1,'LPDDR2-S4 Specs'!H34,IF('Device Config'!$B$40=2,'LPDDR2-S4 Specs'!N34,IF('Device Config'!$B$40=3,'LPDDR2-S4 Specs'!T34,IF('Device Config'!$B$40=4,'LPDDR2-S4 Specs'!Z34,'LPDDR2-S4 Specs'!AF34))))</f>
        <v>2.5000000000000001E-2</v>
      </c>
      <c r="I130" s="120">
        <f>IF('Device Config'!$B$40=1,'LPDDR2-S4 Specs'!I34,IF('Device Config'!$B$40=2,'LPDDR2-S4 Specs'!O34,IF('Device Config'!$B$40=3,'LPDDR2-S4 Specs'!U34,IF('Device Config'!$B$40=4,'LPDDR2-S4 Specs'!AA34,'LPDDR2-S4 Specs'!AG34))))</f>
        <v>2.5000000000000001E-2</v>
      </c>
      <c r="J130" s="120"/>
      <c r="K130" s="120"/>
      <c r="L130" s="120"/>
      <c r="M130" s="120"/>
      <c r="N130" s="120">
        <f>HLOOKUP($N$99,$E$99:$I$190,32)</f>
        <v>2.5000000000000001E-2</v>
      </c>
      <c r="O130" s="120"/>
      <c r="P130" s="120"/>
      <c r="Q130" s="140"/>
      <c r="R130" s="140"/>
      <c r="S130" s="140"/>
      <c r="T130" s="140"/>
      <c r="U130" s="140"/>
      <c r="AC130" s="105"/>
    </row>
    <row r="131" spans="2:29" ht="14.25" hidden="1" customHeight="1">
      <c r="B131" s="118"/>
      <c r="C131" s="119"/>
      <c r="D131" s="118"/>
      <c r="E131" s="120"/>
      <c r="F131" s="120"/>
      <c r="G131" s="120"/>
      <c r="H131" s="120"/>
      <c r="I131" s="120"/>
      <c r="J131" s="120"/>
      <c r="K131" s="120"/>
      <c r="L131" s="120"/>
      <c r="M131" s="120"/>
      <c r="N131" s="120"/>
      <c r="O131" s="120"/>
      <c r="P131" s="120"/>
      <c r="Q131" s="140"/>
      <c r="R131" s="140"/>
      <c r="S131" s="140"/>
      <c r="T131" s="140"/>
      <c r="U131" s="140"/>
      <c r="AC131" s="105"/>
    </row>
    <row r="132" spans="2:29" ht="14.25" hidden="1" customHeight="1">
      <c r="B132" s="118"/>
      <c r="C132" s="119"/>
      <c r="D132" s="118"/>
      <c r="E132" s="120">
        <f>IF('Device Config'!$B$40=1,'LPDDR2-S4 Specs'!E36,IF('Device Config'!$B$40=2,'LPDDR2-S4 Specs'!K36,IF('Device Config'!$B$40=3,'LPDDR2-S4 Specs'!Q36,IF('Device Config'!$B$40=4,'LPDDR2-S4 Specs'!W36,'LPDDR2-S4 Specs'!AC36))))</f>
        <v>70</v>
      </c>
      <c r="F132" s="120">
        <f>IF('Device Config'!$B$40=1,'LPDDR2-S4 Specs'!F36,IF('Device Config'!$B$40=2,'LPDDR2-S4 Specs'!L36,IF('Device Config'!$B$40=3,'LPDDR2-S4 Specs'!R36,IF('Device Config'!$B$40=4,'LPDDR2-S4 Specs'!X36,'LPDDR2-S4 Specs'!AD36))))</f>
        <v>70</v>
      </c>
      <c r="G132" s="120">
        <f>IF('Device Config'!$B$40=1,'LPDDR2-S4 Specs'!G36,IF('Device Config'!$B$40=2,'LPDDR2-S4 Specs'!M36,IF('Device Config'!$B$40=3,'LPDDR2-S4 Specs'!S36,IF('Device Config'!$B$40=4,'LPDDR2-S4 Specs'!Y36,'LPDDR2-S4 Specs'!AE36))))</f>
        <v>70</v>
      </c>
      <c r="H132" s="120">
        <f>IF('Device Config'!$B$40=1,'LPDDR2-S4 Specs'!H36,IF('Device Config'!$B$40=2,'LPDDR2-S4 Specs'!N36,IF('Device Config'!$B$40=3,'LPDDR2-S4 Specs'!T36,IF('Device Config'!$B$40=4,'LPDDR2-S4 Specs'!Z36,'LPDDR2-S4 Specs'!AF36))))</f>
        <v>70</v>
      </c>
      <c r="I132" s="120">
        <f>IF('Device Config'!$B$40=1,'LPDDR2-S4 Specs'!I36,IF('Device Config'!$B$40=2,'LPDDR2-S4 Specs'!O36,IF('Device Config'!$B$40=3,'LPDDR2-S4 Specs'!U36,IF('Device Config'!$B$40=4,'LPDDR2-S4 Specs'!AA36,'LPDDR2-S4 Specs'!AG36))))</f>
        <v>70</v>
      </c>
      <c r="J132" s="120"/>
      <c r="K132" s="120"/>
      <c r="L132" s="120"/>
      <c r="M132" s="120"/>
      <c r="N132" s="120">
        <f>HLOOKUP($N$99,$E$99:$I$190,34)</f>
        <v>70</v>
      </c>
      <c r="O132" s="120"/>
      <c r="P132" s="120"/>
      <c r="Q132" s="140"/>
      <c r="R132" s="140"/>
      <c r="S132" s="140"/>
      <c r="T132" s="140"/>
      <c r="U132" s="140"/>
      <c r="AC132" s="105"/>
    </row>
    <row r="133" spans="2:29" ht="14.25" hidden="1" customHeight="1">
      <c r="B133" s="118"/>
      <c r="C133" s="119"/>
      <c r="D133" s="118"/>
      <c r="E133" s="120">
        <f>IF('Device Config'!$B$40=1,'LPDDR2-S4 Specs'!E37,IF('Device Config'!$B$40=2,'LPDDR2-S4 Specs'!K37,IF('Device Config'!$B$40=3,'LPDDR2-S4 Specs'!Q37,IF('Device Config'!$B$40=4,'LPDDR2-S4 Specs'!W37,'LPDDR2-S4 Specs'!AC37))))</f>
        <v>70</v>
      </c>
      <c r="F133" s="120">
        <f>IF('Device Config'!$B$40=1,'LPDDR2-S4 Specs'!F37,IF('Device Config'!$B$40=2,'LPDDR2-S4 Specs'!L37,IF('Device Config'!$B$40=3,'LPDDR2-S4 Specs'!R37,IF('Device Config'!$B$40=4,'LPDDR2-S4 Specs'!X37,'LPDDR2-S4 Specs'!AD37))))</f>
        <v>70</v>
      </c>
      <c r="G133" s="120">
        <f>IF('Device Config'!$B$40=1,'LPDDR2-S4 Specs'!G37,IF('Device Config'!$B$40=2,'LPDDR2-S4 Specs'!M37,IF('Device Config'!$B$40=3,'LPDDR2-S4 Specs'!S37,IF('Device Config'!$B$40=4,'LPDDR2-S4 Specs'!Y37,'LPDDR2-S4 Specs'!AE37))))</f>
        <v>70</v>
      </c>
      <c r="H133" s="120">
        <f>IF('Device Config'!$B$40=1,'LPDDR2-S4 Specs'!H37,IF('Device Config'!$B$40=2,'LPDDR2-S4 Specs'!N37,IF('Device Config'!$B$40=3,'LPDDR2-S4 Specs'!T37,IF('Device Config'!$B$40=4,'LPDDR2-S4 Specs'!Z37,'LPDDR2-S4 Specs'!AF37))))</f>
        <v>70</v>
      </c>
      <c r="I133" s="120">
        <f>IF('Device Config'!$B$40=1,'LPDDR2-S4 Specs'!I37,IF('Device Config'!$B$40=2,'LPDDR2-S4 Specs'!O37,IF('Device Config'!$B$40=3,'LPDDR2-S4 Specs'!U37,IF('Device Config'!$B$40=4,'LPDDR2-S4 Specs'!AA37,'LPDDR2-S4 Specs'!AG37))))</f>
        <v>70</v>
      </c>
      <c r="J133" s="120"/>
      <c r="K133" s="120"/>
      <c r="L133" s="120"/>
      <c r="M133" s="120"/>
      <c r="N133" s="120">
        <f>HLOOKUP($N$99,$E$99:$I$190,35)</f>
        <v>70</v>
      </c>
      <c r="O133" s="120"/>
      <c r="P133" s="120"/>
      <c r="Q133" s="140"/>
      <c r="R133" s="140"/>
      <c r="S133" s="140"/>
      <c r="T133" s="140"/>
      <c r="U133" s="140"/>
      <c r="AC133" s="105"/>
    </row>
    <row r="134" spans="2:29" hidden="1">
      <c r="B134" s="118"/>
      <c r="C134" s="119"/>
      <c r="D134" s="118"/>
      <c r="E134" s="120">
        <f>IF('Device Config'!$B$40=1,'LPDDR2-S4 Specs'!E38,IF('Device Config'!$B$40=2,'LPDDR2-S4 Specs'!K38,IF('Device Config'!$B$40=3,'LPDDR2-S4 Specs'!Q38,IF('Device Config'!$B$40=4,'LPDDR2-S4 Specs'!W38,'LPDDR2-S4 Specs'!AC38))))</f>
        <v>0.8</v>
      </c>
      <c r="F134" s="120">
        <f>IF('Device Config'!$B$40=1,'LPDDR2-S4 Specs'!F38,IF('Device Config'!$B$40=2,'LPDDR2-S4 Specs'!L38,IF('Device Config'!$B$40=3,'LPDDR2-S4 Specs'!R38,IF('Device Config'!$B$40=4,'LPDDR2-S4 Specs'!X38,'LPDDR2-S4 Specs'!AD38))))</f>
        <v>0.8</v>
      </c>
      <c r="G134" s="120">
        <f>IF('Device Config'!$B$40=1,'LPDDR2-S4 Specs'!G38,IF('Device Config'!$B$40=2,'LPDDR2-S4 Specs'!M38,IF('Device Config'!$B$40=3,'LPDDR2-S4 Specs'!S38,IF('Device Config'!$B$40=4,'LPDDR2-S4 Specs'!Y38,'LPDDR2-S4 Specs'!AE38))))</f>
        <v>0.8</v>
      </c>
      <c r="H134" s="120">
        <f>IF('Device Config'!$B$40=1,'LPDDR2-S4 Specs'!H38,IF('Device Config'!$B$40=2,'LPDDR2-S4 Specs'!N38,IF('Device Config'!$B$40=3,'LPDDR2-S4 Specs'!T38,IF('Device Config'!$B$40=4,'LPDDR2-S4 Specs'!Z38,'LPDDR2-S4 Specs'!AF38))))</f>
        <v>0.8</v>
      </c>
      <c r="I134" s="120">
        <f>IF('Device Config'!$B$40=1,'LPDDR2-S4 Specs'!I38,IF('Device Config'!$B$40=2,'LPDDR2-S4 Specs'!O38,IF('Device Config'!$B$40=3,'LPDDR2-S4 Specs'!U38,IF('Device Config'!$B$40=4,'LPDDR2-S4 Specs'!AA38,'LPDDR2-S4 Specs'!AG38))))</f>
        <v>0.8</v>
      </c>
      <c r="J134" s="120"/>
      <c r="K134" s="120"/>
      <c r="L134" s="120"/>
      <c r="M134" s="120"/>
      <c r="N134" s="120">
        <f>HLOOKUP($N$99,$E$99:$I$190,36)</f>
        <v>0.8</v>
      </c>
      <c r="O134" s="120"/>
      <c r="P134" s="120"/>
      <c r="Q134" s="140"/>
      <c r="R134" s="140"/>
      <c r="S134" s="140"/>
      <c r="T134" s="140"/>
      <c r="U134" s="140"/>
      <c r="AC134" s="105"/>
    </row>
    <row r="135" spans="2:29" hidden="1">
      <c r="B135" s="118"/>
      <c r="C135" s="119"/>
      <c r="D135" s="118"/>
      <c r="E135" s="120">
        <f>IF('Device Config'!$B$40=1,'LPDDR2-S4 Specs'!E39,IF('Device Config'!$B$40=2,'LPDDR2-S4 Specs'!K39,IF('Device Config'!$B$40=3,'LPDDR2-S4 Specs'!Q39,IF('Device Config'!$B$40=4,'LPDDR2-S4 Specs'!W39,'LPDDR2-S4 Specs'!AC39))))</f>
        <v>0.8</v>
      </c>
      <c r="F135" s="120">
        <f>IF('Device Config'!$B$40=1,'LPDDR2-S4 Specs'!F39,IF('Device Config'!$B$40=2,'LPDDR2-S4 Specs'!L39,IF('Device Config'!$B$40=3,'LPDDR2-S4 Specs'!R39,IF('Device Config'!$B$40=4,'LPDDR2-S4 Specs'!X39,'LPDDR2-S4 Specs'!AD39))))</f>
        <v>0.8</v>
      </c>
      <c r="G135" s="120">
        <f>IF('Device Config'!$B$40=1,'LPDDR2-S4 Specs'!G39,IF('Device Config'!$B$40=2,'LPDDR2-S4 Specs'!M39,IF('Device Config'!$B$40=3,'LPDDR2-S4 Specs'!S39,IF('Device Config'!$B$40=4,'LPDDR2-S4 Specs'!Y39,'LPDDR2-S4 Specs'!AE39))))</f>
        <v>0.8</v>
      </c>
      <c r="H135" s="120">
        <f>IF('Device Config'!$B$40=1,'LPDDR2-S4 Specs'!H39,IF('Device Config'!$B$40=2,'LPDDR2-S4 Specs'!N39,IF('Device Config'!$B$40=3,'LPDDR2-S4 Specs'!T39,IF('Device Config'!$B$40=4,'LPDDR2-S4 Specs'!Z39,'LPDDR2-S4 Specs'!AF39))))</f>
        <v>0.8</v>
      </c>
      <c r="I135" s="120">
        <f>IF('Device Config'!$B$40=1,'LPDDR2-S4 Specs'!I39,IF('Device Config'!$B$40=2,'LPDDR2-S4 Specs'!O39,IF('Device Config'!$B$40=3,'LPDDR2-S4 Specs'!U39,IF('Device Config'!$B$40=4,'LPDDR2-S4 Specs'!AA39,'LPDDR2-S4 Specs'!AG39))))</f>
        <v>0.8</v>
      </c>
      <c r="J135" s="120"/>
      <c r="K135" s="120"/>
      <c r="L135" s="120"/>
      <c r="M135" s="120"/>
      <c r="N135" s="120">
        <f>HLOOKUP($N$99,$E$99:$I$190,37)</f>
        <v>0.8</v>
      </c>
      <c r="O135" s="120"/>
      <c r="P135" s="120"/>
      <c r="Q135" s="140"/>
      <c r="R135" s="140"/>
      <c r="S135" s="140"/>
      <c r="T135" s="140"/>
      <c r="U135" s="140"/>
      <c r="AC135" s="105"/>
    </row>
    <row r="136" spans="2:29" ht="14.25" hidden="1" customHeight="1">
      <c r="B136" s="118"/>
      <c r="C136" s="119"/>
      <c r="D136" s="118"/>
      <c r="E136" s="120">
        <f>IF('Device Config'!$B$40=1,'LPDDR2-S4 Specs'!E40,IF('Device Config'!$B$40=2,'LPDDR2-S4 Specs'!K40,IF('Device Config'!$B$40=3,'LPDDR2-S4 Specs'!Q40,IF('Device Config'!$B$40=4,'LPDDR2-S4 Specs'!W40,'LPDDR2-S4 Specs'!AC40))))</f>
        <v>0.8</v>
      </c>
      <c r="F136" s="120">
        <f>IF('Device Config'!$B$40=1,'LPDDR2-S4 Specs'!F40,IF('Device Config'!$B$40=2,'LPDDR2-S4 Specs'!L40,IF('Device Config'!$B$40=3,'LPDDR2-S4 Specs'!R40,IF('Device Config'!$B$40=4,'LPDDR2-S4 Specs'!X40,'LPDDR2-S4 Specs'!AD40))))</f>
        <v>0.8</v>
      </c>
      <c r="G136" s="120">
        <f>IF('Device Config'!$B$40=1,'LPDDR2-S4 Specs'!G40,IF('Device Config'!$B$40=2,'LPDDR2-S4 Specs'!M40,IF('Device Config'!$B$40=3,'LPDDR2-S4 Specs'!S40,IF('Device Config'!$B$40=4,'LPDDR2-S4 Specs'!Y40,'LPDDR2-S4 Specs'!AE40))))</f>
        <v>0.8</v>
      </c>
      <c r="H136" s="120">
        <f>IF('Device Config'!$B$40=1,'LPDDR2-S4 Specs'!H40,IF('Device Config'!$B$40=2,'LPDDR2-S4 Specs'!N40,IF('Device Config'!$B$40=3,'LPDDR2-S4 Specs'!T40,IF('Device Config'!$B$40=4,'LPDDR2-S4 Specs'!Z40,'LPDDR2-S4 Specs'!AF40))))</f>
        <v>0.8</v>
      </c>
      <c r="I136" s="120">
        <f>IF('Device Config'!$B$40=1,'LPDDR2-S4 Specs'!I40,IF('Device Config'!$B$40=2,'LPDDR2-S4 Specs'!O40,IF('Device Config'!$B$40=3,'LPDDR2-S4 Specs'!U40,IF('Device Config'!$B$40=4,'LPDDR2-S4 Specs'!AA40,'LPDDR2-S4 Specs'!AG40))))</f>
        <v>0.8</v>
      </c>
      <c r="J136" s="120"/>
      <c r="K136" s="120"/>
      <c r="L136" s="120"/>
      <c r="M136" s="120"/>
      <c r="N136" s="120">
        <f>HLOOKUP($N$99,$E$99:$I$190,38)</f>
        <v>0.8</v>
      </c>
      <c r="O136" s="120"/>
      <c r="P136" s="120"/>
      <c r="Q136" s="140"/>
      <c r="R136" s="140"/>
      <c r="S136" s="140"/>
      <c r="T136" s="140"/>
      <c r="U136" s="140"/>
      <c r="AC136" s="105"/>
    </row>
    <row r="137" spans="2:29" ht="14.25" hidden="1" customHeight="1">
      <c r="B137" s="118"/>
      <c r="C137" s="119"/>
      <c r="D137" s="118"/>
      <c r="E137" s="120">
        <f>IF('Device Config'!$B$40=1,'LPDDR2-S4 Specs'!E41,IF('Device Config'!$B$40=2,'LPDDR2-S4 Specs'!K41,IF('Device Config'!$B$40=3,'LPDDR2-S4 Specs'!Q41,IF('Device Config'!$B$40=4,'LPDDR2-S4 Specs'!W41,'LPDDR2-S4 Specs'!AC41))))</f>
        <v>0.8</v>
      </c>
      <c r="F137" s="120">
        <f>IF('Device Config'!$B$40=1,'LPDDR2-S4 Specs'!F41,IF('Device Config'!$B$40=2,'LPDDR2-S4 Specs'!L41,IF('Device Config'!$B$40=3,'LPDDR2-S4 Specs'!R41,IF('Device Config'!$B$40=4,'LPDDR2-S4 Specs'!X41,'LPDDR2-S4 Specs'!AD41))))</f>
        <v>0.8</v>
      </c>
      <c r="G137" s="120">
        <f>IF('Device Config'!$B$40=1,'LPDDR2-S4 Specs'!G41,IF('Device Config'!$B$40=2,'LPDDR2-S4 Specs'!M41,IF('Device Config'!$B$40=3,'LPDDR2-S4 Specs'!S41,IF('Device Config'!$B$40=4,'LPDDR2-S4 Specs'!Y41,'LPDDR2-S4 Specs'!AE41))))</f>
        <v>0.8</v>
      </c>
      <c r="H137" s="120">
        <f>IF('Device Config'!$B$40=1,'LPDDR2-S4 Specs'!H41,IF('Device Config'!$B$40=2,'LPDDR2-S4 Specs'!N41,IF('Device Config'!$B$40=3,'LPDDR2-S4 Specs'!T41,IF('Device Config'!$B$40=4,'LPDDR2-S4 Specs'!Z41,'LPDDR2-S4 Specs'!AF41))))</f>
        <v>0.8</v>
      </c>
      <c r="I137" s="120">
        <f>IF('Device Config'!$B$40=1,'LPDDR2-S4 Specs'!I41,IF('Device Config'!$B$40=2,'LPDDR2-S4 Specs'!O41,IF('Device Config'!$B$40=3,'LPDDR2-S4 Specs'!U41,IF('Device Config'!$B$40=4,'LPDDR2-S4 Specs'!AA41,'LPDDR2-S4 Specs'!AG41))))</f>
        <v>0.8</v>
      </c>
      <c r="J137" s="120"/>
      <c r="K137" s="120"/>
      <c r="L137" s="120"/>
      <c r="M137" s="120"/>
      <c r="N137" s="120">
        <f>HLOOKUP($N$99,$E$99:$I$190,39)</f>
        <v>0.8</v>
      </c>
      <c r="O137" s="120"/>
      <c r="P137" s="120"/>
      <c r="Q137" s="140"/>
      <c r="R137" s="140"/>
      <c r="S137" s="140"/>
      <c r="T137" s="140"/>
      <c r="U137" s="140"/>
      <c r="AC137" s="105"/>
    </row>
    <row r="138" spans="2:29" ht="14.25" hidden="1" customHeight="1">
      <c r="B138" s="118"/>
      <c r="C138" s="119"/>
      <c r="D138" s="118"/>
      <c r="E138" s="120">
        <f>IF('Device Config'!$B$40=1,'LPDDR2-S4 Specs'!E42,IF('Device Config'!$B$40=2,'LPDDR2-S4 Specs'!K42,IF('Device Config'!$B$40=3,'LPDDR2-S4 Specs'!Q42,IF('Device Config'!$B$40=4,'LPDDR2-S4 Specs'!W42,'LPDDR2-S4 Specs'!AC42))))</f>
        <v>30</v>
      </c>
      <c r="F138" s="120">
        <f>IF('Device Config'!$B$40=1,'LPDDR2-S4 Specs'!F42,IF('Device Config'!$B$40=2,'LPDDR2-S4 Specs'!L42,IF('Device Config'!$B$40=3,'LPDDR2-S4 Specs'!R42,IF('Device Config'!$B$40=4,'LPDDR2-S4 Specs'!X42,'LPDDR2-S4 Specs'!AD42))))</f>
        <v>30</v>
      </c>
      <c r="G138" s="120">
        <f>IF('Device Config'!$B$40=1,'LPDDR2-S4 Specs'!G42,IF('Device Config'!$B$40=2,'LPDDR2-S4 Specs'!M42,IF('Device Config'!$B$40=3,'LPDDR2-S4 Specs'!S42,IF('Device Config'!$B$40=4,'LPDDR2-S4 Specs'!Y42,'LPDDR2-S4 Specs'!AE42))))</f>
        <v>30</v>
      </c>
      <c r="H138" s="120">
        <f>IF('Device Config'!$B$40=1,'LPDDR2-S4 Specs'!H42,IF('Device Config'!$B$40=2,'LPDDR2-S4 Specs'!N42,IF('Device Config'!$B$40=3,'LPDDR2-S4 Specs'!T42,IF('Device Config'!$B$40=4,'LPDDR2-S4 Specs'!Z42,'LPDDR2-S4 Specs'!AF42))))</f>
        <v>30</v>
      </c>
      <c r="I138" s="120">
        <f>IF('Device Config'!$B$40=1,'LPDDR2-S4 Specs'!I42,IF('Device Config'!$B$40=2,'LPDDR2-S4 Specs'!O42,IF('Device Config'!$B$40=3,'LPDDR2-S4 Specs'!U42,IF('Device Config'!$B$40=4,'LPDDR2-S4 Specs'!AA42,'LPDDR2-S4 Specs'!AG42))))</f>
        <v>30</v>
      </c>
      <c r="J138" s="120"/>
      <c r="K138" s="120"/>
      <c r="L138" s="120"/>
      <c r="M138" s="120"/>
      <c r="N138" s="120">
        <f>HLOOKUP($N$99,$E$99:$I$190,40)</f>
        <v>30</v>
      </c>
      <c r="O138" s="120"/>
      <c r="P138" s="120"/>
      <c r="Q138" s="140"/>
      <c r="R138" s="140"/>
      <c r="S138" s="140"/>
      <c r="T138" s="140"/>
      <c r="U138" s="140"/>
      <c r="AC138" s="105"/>
    </row>
    <row r="139" spans="2:29" ht="14.25" hidden="1" customHeight="1">
      <c r="B139" s="118"/>
      <c r="C139" s="119"/>
      <c r="D139" s="118"/>
      <c r="E139" s="120">
        <f>IF('Device Config'!$B$40=1,'LPDDR2-S4 Specs'!E43,IF('Device Config'!$B$40=2,'LPDDR2-S4 Specs'!K43,IF('Device Config'!$B$40=3,'LPDDR2-S4 Specs'!Q43,IF('Device Config'!$B$40=4,'LPDDR2-S4 Specs'!W43,'LPDDR2-S4 Specs'!AC43))))</f>
        <v>30</v>
      </c>
      <c r="F139" s="120">
        <f>IF('Device Config'!$B$40=1,'LPDDR2-S4 Specs'!F43,IF('Device Config'!$B$40=2,'LPDDR2-S4 Specs'!L43,IF('Device Config'!$B$40=3,'LPDDR2-S4 Specs'!R43,IF('Device Config'!$B$40=4,'LPDDR2-S4 Specs'!X43,'LPDDR2-S4 Specs'!AD43))))</f>
        <v>30</v>
      </c>
      <c r="G139" s="120">
        <f>IF('Device Config'!$B$40=1,'LPDDR2-S4 Specs'!G43,IF('Device Config'!$B$40=2,'LPDDR2-S4 Specs'!M43,IF('Device Config'!$B$40=3,'LPDDR2-S4 Specs'!S43,IF('Device Config'!$B$40=4,'LPDDR2-S4 Specs'!Y43,'LPDDR2-S4 Specs'!AE43))))</f>
        <v>30</v>
      </c>
      <c r="H139" s="120">
        <f>IF('Device Config'!$B$40=1,'LPDDR2-S4 Specs'!H43,IF('Device Config'!$B$40=2,'LPDDR2-S4 Specs'!N43,IF('Device Config'!$B$40=3,'LPDDR2-S4 Specs'!T43,IF('Device Config'!$B$40=4,'LPDDR2-S4 Specs'!Z43,'LPDDR2-S4 Specs'!AF43))))</f>
        <v>30</v>
      </c>
      <c r="I139" s="120">
        <f>IF('Device Config'!$B$40=1,'LPDDR2-S4 Specs'!I43,IF('Device Config'!$B$40=2,'LPDDR2-S4 Specs'!O43,IF('Device Config'!$B$40=3,'LPDDR2-S4 Specs'!U43,IF('Device Config'!$B$40=4,'LPDDR2-S4 Specs'!AA43,'LPDDR2-S4 Specs'!AG43))))</f>
        <v>30</v>
      </c>
      <c r="J139" s="120"/>
      <c r="K139" s="120"/>
      <c r="L139" s="120"/>
      <c r="M139" s="120"/>
      <c r="N139" s="120">
        <f>HLOOKUP($N$99,$E$99:$I$190,41)</f>
        <v>30</v>
      </c>
      <c r="O139" s="120"/>
      <c r="P139" s="120"/>
      <c r="Q139" s="140"/>
      <c r="R139" s="140"/>
      <c r="S139" s="140"/>
      <c r="T139" s="140"/>
      <c r="U139" s="140"/>
      <c r="AC139" s="105"/>
    </row>
    <row r="140" spans="2:29" hidden="1">
      <c r="B140" s="118"/>
      <c r="C140" s="119"/>
      <c r="D140" s="118"/>
      <c r="E140" s="120">
        <f>IF('Device Config'!$B$40=1,'LPDDR2-S4 Specs'!E44,IF('Device Config'!$B$40=2,'LPDDR2-S4 Specs'!K44,IF('Device Config'!$B$40=3,'LPDDR2-S4 Specs'!Q44,IF('Device Config'!$B$40=4,'LPDDR2-S4 Specs'!W44,'LPDDR2-S4 Specs'!AC44))))</f>
        <v>8</v>
      </c>
      <c r="F140" s="120">
        <f>IF('Device Config'!$B$40=1,'LPDDR2-S4 Specs'!F44,IF('Device Config'!$B$40=2,'LPDDR2-S4 Specs'!L44,IF('Device Config'!$B$40=3,'LPDDR2-S4 Specs'!R44,IF('Device Config'!$B$40=4,'LPDDR2-S4 Specs'!X44,'LPDDR2-S4 Specs'!AD44))))</f>
        <v>8</v>
      </c>
      <c r="G140" s="120">
        <f>IF('Device Config'!$B$40=1,'LPDDR2-S4 Specs'!G44,IF('Device Config'!$B$40=2,'LPDDR2-S4 Specs'!M44,IF('Device Config'!$B$40=3,'LPDDR2-S4 Specs'!S44,IF('Device Config'!$B$40=4,'LPDDR2-S4 Specs'!Y44,'LPDDR2-S4 Specs'!AE44))))</f>
        <v>8</v>
      </c>
      <c r="H140" s="120">
        <f>IF('Device Config'!$B$40=1,'LPDDR2-S4 Specs'!H44,IF('Device Config'!$B$40=2,'LPDDR2-S4 Specs'!N44,IF('Device Config'!$B$40=3,'LPDDR2-S4 Specs'!T44,IF('Device Config'!$B$40=4,'LPDDR2-S4 Specs'!Z44,'LPDDR2-S4 Specs'!AF44))))</f>
        <v>8</v>
      </c>
      <c r="I140" s="120">
        <f>IF('Device Config'!$B$40=1,'LPDDR2-S4 Specs'!I44,IF('Device Config'!$B$40=2,'LPDDR2-S4 Specs'!O44,IF('Device Config'!$B$40=3,'LPDDR2-S4 Specs'!U44,IF('Device Config'!$B$40=4,'LPDDR2-S4 Specs'!AA44,'LPDDR2-S4 Specs'!AG44))))</f>
        <v>8</v>
      </c>
      <c r="J140" s="120"/>
      <c r="K140" s="120"/>
      <c r="L140" s="120"/>
      <c r="M140" s="120"/>
      <c r="N140" s="120">
        <f>HLOOKUP($N$99,$E$99:$I$190,42)</f>
        <v>8</v>
      </c>
      <c r="O140" s="120"/>
      <c r="P140" s="120"/>
      <c r="Q140" s="140"/>
      <c r="R140" s="140"/>
      <c r="S140" s="140"/>
      <c r="T140" s="140"/>
      <c r="U140" s="140"/>
      <c r="AC140" s="105"/>
    </row>
    <row r="141" spans="2:29" hidden="1">
      <c r="B141" s="118"/>
      <c r="C141" s="119"/>
      <c r="D141" s="118"/>
      <c r="E141" s="120">
        <f>IF('Device Config'!$B$40=1,'LPDDR2-S4 Specs'!E45,IF('Device Config'!$B$40=2,'LPDDR2-S4 Specs'!K45,IF('Device Config'!$B$40=3,'LPDDR2-S4 Specs'!Q45,IF('Device Config'!$B$40=4,'LPDDR2-S4 Specs'!W45,'LPDDR2-S4 Specs'!AC45))))</f>
        <v>8</v>
      </c>
      <c r="F141" s="120">
        <f>IF('Device Config'!$B$40=1,'LPDDR2-S4 Specs'!F45,IF('Device Config'!$B$40=2,'LPDDR2-S4 Specs'!L45,IF('Device Config'!$B$40=3,'LPDDR2-S4 Specs'!R45,IF('Device Config'!$B$40=4,'LPDDR2-S4 Specs'!X45,'LPDDR2-S4 Specs'!AD45))))</f>
        <v>8</v>
      </c>
      <c r="G141" s="120">
        <f>IF('Device Config'!$B$40=1,'LPDDR2-S4 Specs'!G45,IF('Device Config'!$B$40=2,'LPDDR2-S4 Specs'!M45,IF('Device Config'!$B$40=3,'LPDDR2-S4 Specs'!S45,IF('Device Config'!$B$40=4,'LPDDR2-S4 Specs'!Y45,'LPDDR2-S4 Specs'!AE45))))</f>
        <v>8</v>
      </c>
      <c r="H141" s="120">
        <f>IF('Device Config'!$B$40=1,'LPDDR2-S4 Specs'!H45,IF('Device Config'!$B$40=2,'LPDDR2-S4 Specs'!N45,IF('Device Config'!$B$40=3,'LPDDR2-S4 Specs'!T45,IF('Device Config'!$B$40=4,'LPDDR2-S4 Specs'!Z45,'LPDDR2-S4 Specs'!AF45))))</f>
        <v>8</v>
      </c>
      <c r="I141" s="120">
        <f>IF('Device Config'!$B$40=1,'LPDDR2-S4 Specs'!I45,IF('Device Config'!$B$40=2,'LPDDR2-S4 Specs'!O45,IF('Device Config'!$B$40=3,'LPDDR2-S4 Specs'!U45,IF('Device Config'!$B$40=4,'LPDDR2-S4 Specs'!AA45,'LPDDR2-S4 Specs'!AG45))))</f>
        <v>8</v>
      </c>
      <c r="J141" s="120"/>
      <c r="K141" s="120"/>
      <c r="L141" s="120"/>
      <c r="M141" s="120"/>
      <c r="N141" s="120">
        <f>HLOOKUP($N$99,$E$99:$I$190,43)</f>
        <v>8</v>
      </c>
      <c r="O141" s="120"/>
      <c r="P141" s="120"/>
      <c r="Q141" s="140"/>
      <c r="R141" s="140"/>
      <c r="S141" s="140"/>
      <c r="T141" s="140"/>
      <c r="U141" s="140"/>
      <c r="AC141" s="105"/>
    </row>
    <row r="142" spans="2:29" hidden="1">
      <c r="B142" s="118"/>
      <c r="C142" s="119"/>
      <c r="D142" s="118"/>
      <c r="E142" s="120">
        <f>IF('Device Config'!$B$40=1,'LPDDR2-S4 Specs'!E46,IF('Device Config'!$B$40=2,'LPDDR2-S4 Specs'!K46,IF('Device Config'!$B$40=3,'LPDDR2-S4 Specs'!Q46,IF('Device Config'!$B$40=4,'LPDDR2-S4 Specs'!W46,'LPDDR2-S4 Specs'!AC46))))</f>
        <v>8</v>
      </c>
      <c r="F142" s="120">
        <f>IF('Device Config'!$B$40=1,'LPDDR2-S4 Specs'!F46,IF('Device Config'!$B$40=2,'LPDDR2-S4 Specs'!L46,IF('Device Config'!$B$40=3,'LPDDR2-S4 Specs'!R46,IF('Device Config'!$B$40=4,'LPDDR2-S4 Specs'!X46,'LPDDR2-S4 Specs'!AD46))))</f>
        <v>8</v>
      </c>
      <c r="G142" s="120">
        <f>IF('Device Config'!$B$40=1,'LPDDR2-S4 Specs'!G46,IF('Device Config'!$B$40=2,'LPDDR2-S4 Specs'!M46,IF('Device Config'!$B$40=3,'LPDDR2-S4 Specs'!S46,IF('Device Config'!$B$40=4,'LPDDR2-S4 Specs'!Y46,'LPDDR2-S4 Specs'!AE46))))</f>
        <v>8</v>
      </c>
      <c r="H142" s="120">
        <f>IF('Device Config'!$B$40=1,'LPDDR2-S4 Specs'!H46,IF('Device Config'!$B$40=2,'LPDDR2-S4 Specs'!N46,IF('Device Config'!$B$40=3,'LPDDR2-S4 Specs'!T46,IF('Device Config'!$B$40=4,'LPDDR2-S4 Specs'!Z46,'LPDDR2-S4 Specs'!AF46))))</f>
        <v>8</v>
      </c>
      <c r="I142" s="120">
        <f>IF('Device Config'!$B$40=1,'LPDDR2-S4 Specs'!I46,IF('Device Config'!$B$40=2,'LPDDR2-S4 Specs'!O46,IF('Device Config'!$B$40=3,'LPDDR2-S4 Specs'!U46,IF('Device Config'!$B$40=4,'LPDDR2-S4 Specs'!AA46,'LPDDR2-S4 Specs'!AG46))))</f>
        <v>8</v>
      </c>
      <c r="J142" s="120"/>
      <c r="K142" s="120"/>
      <c r="L142" s="120"/>
      <c r="M142" s="120"/>
      <c r="N142" s="120">
        <f>HLOOKUP($N$99,$E$99:$I$190,44)</f>
        <v>8</v>
      </c>
      <c r="O142" s="120"/>
      <c r="P142" s="120"/>
      <c r="Q142" s="140"/>
      <c r="R142" s="140"/>
      <c r="S142" s="140"/>
      <c r="T142" s="140"/>
      <c r="U142" s="140"/>
      <c r="AC142" s="105"/>
    </row>
    <row r="143" spans="2:29" hidden="1">
      <c r="B143" s="118"/>
      <c r="C143" s="119"/>
      <c r="D143" s="118"/>
      <c r="E143" s="120">
        <f>IF('Device Config'!$B$40=1,'LPDDR2-S4 Specs'!E47,IF('Device Config'!$B$40=2,'LPDDR2-S4 Specs'!K47,IF('Device Config'!$B$40=3,'LPDDR2-S4 Specs'!Q47,IF('Device Config'!$B$40=4,'LPDDR2-S4 Specs'!W47,'LPDDR2-S4 Specs'!AC47))))</f>
        <v>8</v>
      </c>
      <c r="F143" s="120">
        <f>IF('Device Config'!$B$40=1,'LPDDR2-S4 Specs'!F47,IF('Device Config'!$B$40=2,'LPDDR2-S4 Specs'!L47,IF('Device Config'!$B$40=3,'LPDDR2-S4 Specs'!R47,IF('Device Config'!$B$40=4,'LPDDR2-S4 Specs'!X47,'LPDDR2-S4 Specs'!AD47))))</f>
        <v>8</v>
      </c>
      <c r="G143" s="120">
        <f>IF('Device Config'!$B$40=1,'LPDDR2-S4 Specs'!G47,IF('Device Config'!$B$40=2,'LPDDR2-S4 Specs'!M47,IF('Device Config'!$B$40=3,'LPDDR2-S4 Specs'!S47,IF('Device Config'!$B$40=4,'LPDDR2-S4 Specs'!Y47,'LPDDR2-S4 Specs'!AE47))))</f>
        <v>8</v>
      </c>
      <c r="H143" s="120">
        <f>IF('Device Config'!$B$40=1,'LPDDR2-S4 Specs'!H47,IF('Device Config'!$B$40=2,'LPDDR2-S4 Specs'!N47,IF('Device Config'!$B$40=3,'LPDDR2-S4 Specs'!T47,IF('Device Config'!$B$40=4,'LPDDR2-S4 Specs'!Z47,'LPDDR2-S4 Specs'!AF47))))</f>
        <v>8</v>
      </c>
      <c r="I143" s="120">
        <f>IF('Device Config'!$B$40=1,'LPDDR2-S4 Specs'!I47,IF('Device Config'!$B$40=2,'LPDDR2-S4 Specs'!O47,IF('Device Config'!$B$40=3,'LPDDR2-S4 Specs'!U47,IF('Device Config'!$B$40=4,'LPDDR2-S4 Specs'!AA47,'LPDDR2-S4 Specs'!AG47))))</f>
        <v>8</v>
      </c>
      <c r="J143" s="120"/>
      <c r="K143" s="120"/>
      <c r="L143" s="120"/>
      <c r="M143" s="120"/>
      <c r="N143" s="120">
        <f>HLOOKUP($N$99,$E$99:$I$190,45)</f>
        <v>8</v>
      </c>
      <c r="O143" s="120"/>
      <c r="P143" s="120"/>
      <c r="Q143" s="140"/>
      <c r="R143" s="140"/>
      <c r="S143" s="140"/>
      <c r="T143" s="140"/>
      <c r="U143" s="140"/>
      <c r="AC143" s="105"/>
    </row>
    <row r="144" spans="2:29" hidden="1">
      <c r="B144" s="118"/>
      <c r="C144" s="119"/>
      <c r="D144" s="118"/>
      <c r="E144" s="120">
        <f>IF('Device Config'!$B$40=1,'LPDDR2-S4 Specs'!E48,IF('Device Config'!$B$40=2,'LPDDR2-S4 Specs'!K48,IF('Device Config'!$B$40=3,'LPDDR2-S4 Specs'!Q48,IF('Device Config'!$B$40=4,'LPDDR2-S4 Specs'!W48,'LPDDR2-S4 Specs'!AC48))))</f>
        <v>30</v>
      </c>
      <c r="F144" s="120">
        <f>IF('Device Config'!$B$40=1,'LPDDR2-S4 Specs'!F48,IF('Device Config'!$B$40=2,'LPDDR2-S4 Specs'!L48,IF('Device Config'!$B$40=3,'LPDDR2-S4 Specs'!R48,IF('Device Config'!$B$40=4,'LPDDR2-S4 Specs'!X48,'LPDDR2-S4 Specs'!AD48))))</f>
        <v>30</v>
      </c>
      <c r="G144" s="120">
        <f>IF('Device Config'!$B$40=1,'LPDDR2-S4 Specs'!G48,IF('Device Config'!$B$40=2,'LPDDR2-S4 Specs'!M48,IF('Device Config'!$B$40=3,'LPDDR2-S4 Specs'!S48,IF('Device Config'!$B$40=4,'LPDDR2-S4 Specs'!Y48,'LPDDR2-S4 Specs'!AE48))))</f>
        <v>30</v>
      </c>
      <c r="H144" s="120">
        <f>IF('Device Config'!$B$40=1,'LPDDR2-S4 Specs'!H48,IF('Device Config'!$B$40=2,'LPDDR2-S4 Specs'!N48,IF('Device Config'!$B$40=3,'LPDDR2-S4 Specs'!T48,IF('Device Config'!$B$40=4,'LPDDR2-S4 Specs'!Z48,'LPDDR2-S4 Specs'!AF48))))</f>
        <v>30</v>
      </c>
      <c r="I144" s="120">
        <f>IF('Device Config'!$B$40=1,'LPDDR2-S4 Specs'!I48,IF('Device Config'!$B$40=2,'LPDDR2-S4 Specs'!O48,IF('Device Config'!$B$40=3,'LPDDR2-S4 Specs'!U48,IF('Device Config'!$B$40=4,'LPDDR2-S4 Specs'!AA48,'LPDDR2-S4 Specs'!AG48))))</f>
        <v>30</v>
      </c>
      <c r="J144" s="120"/>
      <c r="K144" s="120"/>
      <c r="L144" s="120"/>
      <c r="M144" s="120"/>
      <c r="N144" s="120">
        <f>HLOOKUP($N$99,$E$99:$I$190,46)</f>
        <v>30</v>
      </c>
      <c r="O144" s="120"/>
      <c r="P144" s="120"/>
      <c r="Q144" s="140"/>
      <c r="R144" s="140"/>
      <c r="S144" s="140"/>
      <c r="T144" s="140"/>
      <c r="U144" s="140"/>
      <c r="AC144" s="105"/>
    </row>
    <row r="145" spans="2:29" hidden="1">
      <c r="B145" s="118"/>
      <c r="C145" s="119"/>
      <c r="D145" s="118"/>
      <c r="E145" s="120">
        <f>IF('Device Config'!$B$40=1,'LPDDR2-S4 Specs'!E49,IF('Device Config'!$B$40=2,'LPDDR2-S4 Specs'!K49,IF('Device Config'!$B$40=3,'LPDDR2-S4 Specs'!Q49,IF('Device Config'!$B$40=4,'LPDDR2-S4 Specs'!W49,'LPDDR2-S4 Specs'!AC49))))</f>
        <v>30</v>
      </c>
      <c r="F145" s="120">
        <f>IF('Device Config'!$B$40=1,'LPDDR2-S4 Specs'!F49,IF('Device Config'!$B$40=2,'LPDDR2-S4 Specs'!L49,IF('Device Config'!$B$40=3,'LPDDR2-S4 Specs'!R49,IF('Device Config'!$B$40=4,'LPDDR2-S4 Specs'!X49,'LPDDR2-S4 Specs'!AD49))))</f>
        <v>30</v>
      </c>
      <c r="G145" s="120">
        <f>IF('Device Config'!$B$40=1,'LPDDR2-S4 Specs'!G49,IF('Device Config'!$B$40=2,'LPDDR2-S4 Specs'!M49,IF('Device Config'!$B$40=3,'LPDDR2-S4 Specs'!S49,IF('Device Config'!$B$40=4,'LPDDR2-S4 Specs'!Y49,'LPDDR2-S4 Specs'!AE49))))</f>
        <v>30</v>
      </c>
      <c r="H145" s="120">
        <f>IF('Device Config'!$B$40=1,'LPDDR2-S4 Specs'!H49,IF('Device Config'!$B$40=2,'LPDDR2-S4 Specs'!N49,IF('Device Config'!$B$40=3,'LPDDR2-S4 Specs'!T49,IF('Device Config'!$B$40=4,'LPDDR2-S4 Specs'!Z49,'LPDDR2-S4 Specs'!AF49))))</f>
        <v>30</v>
      </c>
      <c r="I145" s="120">
        <f>IF('Device Config'!$B$40=1,'LPDDR2-S4 Specs'!I49,IF('Device Config'!$B$40=2,'LPDDR2-S4 Specs'!O49,IF('Device Config'!$B$40=3,'LPDDR2-S4 Specs'!U49,IF('Device Config'!$B$40=4,'LPDDR2-S4 Specs'!AA49,'LPDDR2-S4 Specs'!AG49))))</f>
        <v>30</v>
      </c>
      <c r="J145" s="120"/>
      <c r="K145" s="120"/>
      <c r="L145" s="120"/>
      <c r="M145" s="120"/>
      <c r="N145" s="120">
        <f>HLOOKUP($N$99,$E$99:$I$190,47)</f>
        <v>30</v>
      </c>
      <c r="O145" s="120"/>
      <c r="P145" s="120"/>
      <c r="Q145" s="140"/>
      <c r="R145" s="140"/>
      <c r="S145" s="140"/>
      <c r="T145" s="140"/>
      <c r="U145" s="140"/>
      <c r="AC145" s="105"/>
    </row>
    <row r="146" spans="2:29" hidden="1">
      <c r="B146" s="118"/>
      <c r="C146" s="119"/>
      <c r="D146" s="118"/>
      <c r="E146" s="120">
        <f>IF('Device Config'!$B$40=1,'LPDDR2-S4 Specs'!E50,IF('Device Config'!$B$40=2,'LPDDR2-S4 Specs'!K50,IF('Device Config'!$B$40=3,'LPDDR2-S4 Specs'!Q50,IF('Device Config'!$B$40=4,'LPDDR2-S4 Specs'!W50,'LPDDR2-S4 Specs'!AC50))))</f>
        <v>220</v>
      </c>
      <c r="F146" s="120">
        <f>IF('Device Config'!$B$40=1,'LPDDR2-S4 Specs'!F50,IF('Device Config'!$B$40=2,'LPDDR2-S4 Specs'!L50,IF('Device Config'!$B$40=3,'LPDDR2-S4 Specs'!R50,IF('Device Config'!$B$40=4,'LPDDR2-S4 Specs'!X50,'LPDDR2-S4 Specs'!AD50))))</f>
        <v>194</v>
      </c>
      <c r="G146" s="120">
        <f>IF('Device Config'!$B$40=1,'LPDDR2-S4 Specs'!G50,IF('Device Config'!$B$40=2,'LPDDR2-S4 Specs'!M50,IF('Device Config'!$B$40=3,'LPDDR2-S4 Specs'!S50,IF('Device Config'!$B$40=4,'LPDDR2-S4 Specs'!Y50,'LPDDR2-S4 Specs'!AE50))))</f>
        <v>178</v>
      </c>
      <c r="H146" s="120">
        <f>IF('Device Config'!$B$40=1,'LPDDR2-S4 Specs'!H50,IF('Device Config'!$B$40=2,'LPDDR2-S4 Specs'!N50,IF('Device Config'!$B$40=3,'LPDDR2-S4 Specs'!T50,IF('Device Config'!$B$40=4,'LPDDR2-S4 Specs'!Z50,'LPDDR2-S4 Specs'!AF50))))</f>
        <v>155</v>
      </c>
      <c r="I146" s="120">
        <f>IF('Device Config'!$B$40=1,'LPDDR2-S4 Specs'!I50,IF('Device Config'!$B$40=2,'LPDDR2-S4 Specs'!O50,IF('Device Config'!$B$40=3,'LPDDR2-S4 Specs'!U50,IF('Device Config'!$B$40=4,'LPDDR2-S4 Specs'!AA50,'LPDDR2-S4 Specs'!AG50))))</f>
        <v>145</v>
      </c>
      <c r="J146" s="120"/>
      <c r="K146" s="120"/>
      <c r="L146" s="120"/>
      <c r="M146" s="120"/>
      <c r="N146" s="120">
        <f>HLOOKUP($N$99,$E$99:$I$190,48)</f>
        <v>220</v>
      </c>
      <c r="O146" s="120"/>
      <c r="P146" s="120"/>
      <c r="Q146" s="140"/>
      <c r="R146" s="140"/>
      <c r="S146" s="140"/>
      <c r="T146" s="140"/>
      <c r="U146" s="140"/>
      <c r="AC146" s="105"/>
    </row>
    <row r="147" spans="2:29" hidden="1">
      <c r="B147" s="118"/>
      <c r="C147" s="119"/>
      <c r="D147" s="118"/>
      <c r="E147" s="120">
        <f>IF('Device Config'!$B$40=1,'LPDDR2-S4 Specs'!E51,IF('Device Config'!$B$40=2,'LPDDR2-S4 Specs'!K51,IF('Device Config'!$B$40=3,'LPDDR2-S4 Specs'!Q51,IF('Device Config'!$B$40=4,'LPDDR2-S4 Specs'!W51,'LPDDR2-S4 Specs'!AC51))))</f>
        <v>220</v>
      </c>
      <c r="F147" s="120">
        <f>IF('Device Config'!$B$40=1,'LPDDR2-S4 Specs'!F51,IF('Device Config'!$B$40=2,'LPDDR2-S4 Specs'!L51,IF('Device Config'!$B$40=3,'LPDDR2-S4 Specs'!R51,IF('Device Config'!$B$40=4,'LPDDR2-S4 Specs'!X51,'LPDDR2-S4 Specs'!AD51))))</f>
        <v>194</v>
      </c>
      <c r="G147" s="120">
        <f>IF('Device Config'!$B$40=1,'LPDDR2-S4 Specs'!G51,IF('Device Config'!$B$40=2,'LPDDR2-S4 Specs'!M51,IF('Device Config'!$B$40=3,'LPDDR2-S4 Specs'!S51,IF('Device Config'!$B$40=4,'LPDDR2-S4 Specs'!Y51,'LPDDR2-S4 Specs'!AE51))))</f>
        <v>178</v>
      </c>
      <c r="H147" s="120">
        <f>IF('Device Config'!$B$40=1,'LPDDR2-S4 Specs'!H51,IF('Device Config'!$B$40=2,'LPDDR2-S4 Specs'!N51,IF('Device Config'!$B$40=3,'LPDDR2-S4 Specs'!T51,IF('Device Config'!$B$40=4,'LPDDR2-S4 Specs'!Z51,'LPDDR2-S4 Specs'!AF51))))</f>
        <v>155</v>
      </c>
      <c r="I147" s="120">
        <f>IF('Device Config'!$B$40=1,'LPDDR2-S4 Specs'!I51,IF('Device Config'!$B$40=2,'LPDDR2-S4 Specs'!O51,IF('Device Config'!$B$40=3,'LPDDR2-S4 Specs'!U51,IF('Device Config'!$B$40=4,'LPDDR2-S4 Specs'!AA51,'LPDDR2-S4 Specs'!AG51))))</f>
        <v>145</v>
      </c>
      <c r="J147" s="120"/>
      <c r="K147" s="120"/>
      <c r="L147" s="120"/>
      <c r="M147" s="120"/>
      <c r="N147" s="120">
        <f>HLOOKUP($N$99,$E$99:$I$190,49)</f>
        <v>220</v>
      </c>
      <c r="O147" s="120"/>
      <c r="P147" s="120"/>
      <c r="Q147" s="140"/>
      <c r="R147" s="140"/>
      <c r="S147" s="140"/>
      <c r="T147" s="140"/>
      <c r="U147" s="140"/>
      <c r="AC147" s="105"/>
    </row>
    <row r="148" spans="2:29" hidden="1">
      <c r="B148" s="118"/>
      <c r="C148" s="119"/>
      <c r="D148" s="118"/>
      <c r="E148" s="120">
        <f>IF('Device Config'!$B$40=1,'LPDDR2-S4 Specs'!E52,IF('Device Config'!$B$40=2,'LPDDR2-S4 Specs'!K52,IF('Device Config'!$B$40=3,'LPDDR2-S4 Specs'!Q52,IF('Device Config'!$B$40=4,'LPDDR2-S4 Specs'!W52,'LPDDR2-S4 Specs'!AC52))))</f>
        <v>190</v>
      </c>
      <c r="F148" s="120">
        <f>IF('Device Config'!$B$40=1,'LPDDR2-S4 Specs'!F52,IF('Device Config'!$B$40=2,'LPDDR2-S4 Specs'!L52,IF('Device Config'!$B$40=3,'LPDDR2-S4 Specs'!R52,IF('Device Config'!$B$40=4,'LPDDR2-S4 Specs'!X52,'LPDDR2-S4 Specs'!AD52))))</f>
        <v>185</v>
      </c>
      <c r="G148" s="120">
        <f>IF('Device Config'!$B$40=1,'LPDDR2-S4 Specs'!G52,IF('Device Config'!$B$40=2,'LPDDR2-S4 Specs'!M52,IF('Device Config'!$B$40=3,'LPDDR2-S4 Specs'!S52,IF('Device Config'!$B$40=4,'LPDDR2-S4 Specs'!Y52,'LPDDR2-S4 Specs'!AE52))))</f>
        <v>170</v>
      </c>
      <c r="H148" s="120">
        <f>IF('Device Config'!$B$40=1,'LPDDR2-S4 Specs'!H52,IF('Device Config'!$B$40=2,'LPDDR2-S4 Specs'!N52,IF('Device Config'!$B$40=3,'LPDDR2-S4 Specs'!T52,IF('Device Config'!$B$40=4,'LPDDR2-S4 Specs'!Z52,'LPDDR2-S4 Specs'!AF52))))</f>
        <v>155</v>
      </c>
      <c r="I148" s="120">
        <f>IF('Device Config'!$B$40=1,'LPDDR2-S4 Specs'!I52,IF('Device Config'!$B$40=2,'LPDDR2-S4 Specs'!O52,IF('Device Config'!$B$40=3,'LPDDR2-S4 Specs'!U52,IF('Device Config'!$B$40=4,'LPDDR2-S4 Specs'!AA52,'LPDDR2-S4 Specs'!AG52))))</f>
        <v>145</v>
      </c>
      <c r="J148" s="120"/>
      <c r="K148" s="120"/>
      <c r="L148" s="120"/>
      <c r="M148" s="120"/>
      <c r="N148" s="120">
        <f>HLOOKUP($N$99,$E$99:$I$190,50)</f>
        <v>190</v>
      </c>
      <c r="O148" s="120"/>
      <c r="P148" s="120"/>
      <c r="Q148" s="140"/>
      <c r="R148" s="140"/>
      <c r="S148" s="140"/>
      <c r="T148" s="140"/>
      <c r="U148" s="140"/>
      <c r="AC148" s="105"/>
    </row>
    <row r="149" spans="2:29" ht="16.5" hidden="1" customHeight="1">
      <c r="B149" s="118"/>
      <c r="C149" s="119"/>
      <c r="D149" s="118"/>
      <c r="E149" s="120">
        <f>IF('Device Config'!$B$40=1,'LPDDR2-S4 Specs'!E53,IF('Device Config'!$B$40=2,'LPDDR2-S4 Specs'!K53,IF('Device Config'!$B$40=3,'LPDDR2-S4 Specs'!Q53,IF('Device Config'!$B$40=4,'LPDDR2-S4 Specs'!W53,'LPDDR2-S4 Specs'!AC53))))</f>
        <v>190</v>
      </c>
      <c r="F149" s="120">
        <f>IF('Device Config'!$B$40=1,'LPDDR2-S4 Specs'!F53,IF('Device Config'!$B$40=2,'LPDDR2-S4 Specs'!L53,IF('Device Config'!$B$40=3,'LPDDR2-S4 Specs'!R53,IF('Device Config'!$B$40=4,'LPDDR2-S4 Specs'!X53,'LPDDR2-S4 Specs'!AD53))))</f>
        <v>185</v>
      </c>
      <c r="G149" s="120">
        <f>IF('Device Config'!$B$40=1,'LPDDR2-S4 Specs'!G53,IF('Device Config'!$B$40=2,'LPDDR2-S4 Specs'!M53,IF('Device Config'!$B$40=3,'LPDDR2-S4 Specs'!S53,IF('Device Config'!$B$40=4,'LPDDR2-S4 Specs'!Y53,'LPDDR2-S4 Specs'!AE53))))</f>
        <v>170</v>
      </c>
      <c r="H149" s="120">
        <f>IF('Device Config'!$B$40=1,'LPDDR2-S4 Specs'!H53,IF('Device Config'!$B$40=2,'LPDDR2-S4 Specs'!N53,IF('Device Config'!$B$40=3,'LPDDR2-S4 Specs'!T53,IF('Device Config'!$B$40=4,'LPDDR2-S4 Specs'!Z53,'LPDDR2-S4 Specs'!AF53))))</f>
        <v>155</v>
      </c>
      <c r="I149" s="120">
        <f>IF('Device Config'!$B$40=1,'LPDDR2-S4 Specs'!I53,IF('Device Config'!$B$40=2,'LPDDR2-S4 Specs'!O53,IF('Device Config'!$B$40=3,'LPDDR2-S4 Specs'!U53,IF('Device Config'!$B$40=4,'LPDDR2-S4 Specs'!AA53,'LPDDR2-S4 Specs'!AG53))))</f>
        <v>145</v>
      </c>
      <c r="J149" s="120"/>
      <c r="K149" s="120"/>
      <c r="L149" s="120"/>
      <c r="M149" s="120"/>
      <c r="N149" s="120">
        <f>HLOOKUP($N$99,$E$99:$I$190,51)</f>
        <v>190</v>
      </c>
      <c r="O149" s="120"/>
      <c r="P149" s="120"/>
      <c r="Q149" s="140"/>
      <c r="R149" s="140"/>
      <c r="S149" s="140"/>
      <c r="T149" s="140"/>
      <c r="U149" s="140"/>
      <c r="AC149" s="105"/>
    </row>
    <row r="150" spans="2:29" ht="16.5" hidden="1" customHeight="1">
      <c r="B150" s="118"/>
      <c r="C150" s="119"/>
      <c r="D150" s="118"/>
      <c r="E150" s="120">
        <f>IF('Device Config'!$B$40=1,'LPDDR2-S4 Specs'!E54,IF('Device Config'!$B$40=2,'LPDDR2-S4 Specs'!K54,IF('Device Config'!$B$40=3,'LPDDR2-S4 Specs'!Q54,IF('Device Config'!$B$40=4,'LPDDR2-S4 Specs'!W54,'LPDDR2-S4 Specs'!AC54))))</f>
        <v>150</v>
      </c>
      <c r="F150" s="120">
        <f>IF('Device Config'!$B$40=1,'LPDDR2-S4 Specs'!F54,IF('Device Config'!$B$40=2,'LPDDR2-S4 Specs'!L54,IF('Device Config'!$B$40=3,'LPDDR2-S4 Specs'!R54,IF('Device Config'!$B$40=4,'LPDDR2-S4 Specs'!X54,'LPDDR2-S4 Specs'!AD54))))</f>
        <v>150</v>
      </c>
      <c r="G150" s="120">
        <f>IF('Device Config'!$B$40=1,'LPDDR2-S4 Specs'!G54,IF('Device Config'!$B$40=2,'LPDDR2-S4 Specs'!M54,IF('Device Config'!$B$40=3,'LPDDR2-S4 Specs'!S54,IF('Device Config'!$B$40=4,'LPDDR2-S4 Specs'!Y54,'LPDDR2-S4 Specs'!AE54))))</f>
        <v>150</v>
      </c>
      <c r="H150" s="120">
        <f>IF('Device Config'!$B$40=1,'LPDDR2-S4 Specs'!H54,IF('Device Config'!$B$40=2,'LPDDR2-S4 Specs'!N54,IF('Device Config'!$B$40=3,'LPDDR2-S4 Specs'!T54,IF('Device Config'!$B$40=4,'LPDDR2-S4 Specs'!Z54,'LPDDR2-S4 Specs'!AF54))))</f>
        <v>150</v>
      </c>
      <c r="I150" s="120">
        <f>IF('Device Config'!$B$40=1,'LPDDR2-S4 Specs'!I54,IF('Device Config'!$B$40=2,'LPDDR2-S4 Specs'!O54,IF('Device Config'!$B$40=3,'LPDDR2-S4 Specs'!U54,IF('Device Config'!$B$40=4,'LPDDR2-S4 Specs'!AA54,'LPDDR2-S4 Specs'!AG54))))</f>
        <v>150</v>
      </c>
      <c r="J150" s="120"/>
      <c r="K150" s="120"/>
      <c r="L150" s="120"/>
      <c r="M150" s="120"/>
      <c r="N150" s="120">
        <f>HLOOKUP($N$99,$E$99:$I$190,52)</f>
        <v>150</v>
      </c>
      <c r="O150" s="120"/>
      <c r="P150" s="120"/>
      <c r="Q150" s="140"/>
      <c r="R150" s="140"/>
      <c r="S150" s="140"/>
      <c r="T150" s="140"/>
      <c r="U150" s="140"/>
      <c r="AC150" s="105"/>
    </row>
    <row r="151" spans="2:29" ht="16.5" hidden="1" customHeight="1">
      <c r="B151" s="118"/>
      <c r="C151" s="119"/>
      <c r="D151" s="118"/>
      <c r="E151" s="120">
        <f>IF('Device Config'!$B$40=1,'LPDDR2-S4 Specs'!E55,IF('Device Config'!$B$40=2,'LPDDR2-S4 Specs'!K55,IF('Device Config'!$B$40=3,'LPDDR2-S4 Specs'!Q55,IF('Device Config'!$B$40=4,'LPDDR2-S4 Specs'!W55,'LPDDR2-S4 Specs'!AC55))))</f>
        <v>150</v>
      </c>
      <c r="F151" s="120">
        <f>IF('Device Config'!$B$40=1,'LPDDR2-S4 Specs'!F55,IF('Device Config'!$B$40=2,'LPDDR2-S4 Specs'!L55,IF('Device Config'!$B$40=3,'LPDDR2-S4 Specs'!R55,IF('Device Config'!$B$40=4,'LPDDR2-S4 Specs'!X55,'LPDDR2-S4 Specs'!AD55))))</f>
        <v>150</v>
      </c>
      <c r="G151" s="120">
        <f>IF('Device Config'!$B$40=1,'LPDDR2-S4 Specs'!G55,IF('Device Config'!$B$40=2,'LPDDR2-S4 Specs'!M55,IF('Device Config'!$B$40=3,'LPDDR2-S4 Specs'!S55,IF('Device Config'!$B$40=4,'LPDDR2-S4 Specs'!Y55,'LPDDR2-S4 Specs'!AE55))))</f>
        <v>150</v>
      </c>
      <c r="H151" s="120">
        <f>IF('Device Config'!$B$40=1,'LPDDR2-S4 Specs'!H55,IF('Device Config'!$B$40=2,'LPDDR2-S4 Specs'!N55,IF('Device Config'!$B$40=3,'LPDDR2-S4 Specs'!T55,IF('Device Config'!$B$40=4,'LPDDR2-S4 Specs'!Z55,'LPDDR2-S4 Specs'!AF55))))</f>
        <v>150</v>
      </c>
      <c r="I151" s="120">
        <f>IF('Device Config'!$B$40=1,'LPDDR2-S4 Specs'!I55,IF('Device Config'!$B$40=2,'LPDDR2-S4 Specs'!O55,IF('Device Config'!$B$40=3,'LPDDR2-S4 Specs'!U55,IF('Device Config'!$B$40=4,'LPDDR2-S4 Specs'!AA55,'LPDDR2-S4 Specs'!AG55))))</f>
        <v>150</v>
      </c>
      <c r="J151" s="120"/>
      <c r="K151" s="120"/>
      <c r="L151" s="120"/>
      <c r="M151" s="120"/>
      <c r="N151" s="120">
        <f>HLOOKUP($N$99,$E$99:$I$190,53)</f>
        <v>150</v>
      </c>
      <c r="O151" s="120"/>
      <c r="P151" s="120"/>
      <c r="Q151" s="140"/>
      <c r="R151" s="140"/>
      <c r="S151" s="140"/>
      <c r="T151" s="140"/>
      <c r="U151" s="140"/>
      <c r="AC151" s="105"/>
    </row>
    <row r="152" spans="2:29" ht="16.5" hidden="1" customHeight="1">
      <c r="B152" s="118"/>
      <c r="C152" s="119"/>
      <c r="D152" s="118"/>
      <c r="E152" s="120">
        <f>IF('Device Config'!$B$40=1,'LPDDR2-S4 Specs'!E56,IF('Device Config'!$B$40=2,'LPDDR2-S4 Specs'!K56,IF('Device Config'!$B$40=3,'LPDDR2-S4 Specs'!Q56,IF('Device Config'!$B$40=4,'LPDDR2-S4 Specs'!W56,'LPDDR2-S4 Specs'!AC56))))</f>
        <v>3.2</v>
      </c>
      <c r="F152" s="120">
        <f>IF('Device Config'!$B$40=1,'LPDDR2-S4 Specs'!F56,IF('Device Config'!$B$40=2,'LPDDR2-S4 Specs'!L56,IF('Device Config'!$B$40=3,'LPDDR2-S4 Specs'!R56,IF('Device Config'!$B$40=4,'LPDDR2-S4 Specs'!X56,'LPDDR2-S4 Specs'!AD56))))</f>
        <v>3.2</v>
      </c>
      <c r="G152" s="120">
        <f>IF('Device Config'!$B$40=1,'LPDDR2-S4 Specs'!G56,IF('Device Config'!$B$40=2,'LPDDR2-S4 Specs'!M56,IF('Device Config'!$B$40=3,'LPDDR2-S4 Specs'!S56,IF('Device Config'!$B$40=4,'LPDDR2-S4 Specs'!Y56,'LPDDR2-S4 Specs'!AE56))))</f>
        <v>3.2</v>
      </c>
      <c r="H152" s="120">
        <f>IF('Device Config'!$B$40=1,'LPDDR2-S4 Specs'!H56,IF('Device Config'!$B$40=2,'LPDDR2-S4 Specs'!N56,IF('Device Config'!$B$40=3,'LPDDR2-S4 Specs'!T56,IF('Device Config'!$B$40=4,'LPDDR2-S4 Specs'!Z56,'LPDDR2-S4 Specs'!AF56))))</f>
        <v>3.2</v>
      </c>
      <c r="I152" s="120">
        <f>IF('Device Config'!$B$40=1,'LPDDR2-S4 Specs'!I56,IF('Device Config'!$B$40=2,'LPDDR2-S4 Specs'!O56,IF('Device Config'!$B$40=3,'LPDDR2-S4 Specs'!U56,IF('Device Config'!$B$40=4,'LPDDR2-S4 Specs'!AA56,'LPDDR2-S4 Specs'!AG56))))</f>
        <v>3.2</v>
      </c>
      <c r="J152" s="120"/>
      <c r="K152" s="120"/>
      <c r="L152" s="120"/>
      <c r="M152" s="120"/>
      <c r="N152" s="120">
        <f>HLOOKUP($N$99,$E$99:$I$190,54)</f>
        <v>3.2</v>
      </c>
      <c r="O152" s="120"/>
      <c r="P152" s="120"/>
      <c r="Q152" s="140"/>
      <c r="R152" s="140"/>
      <c r="S152" s="140"/>
      <c r="T152" s="140"/>
      <c r="U152" s="140"/>
      <c r="AC152" s="105"/>
    </row>
    <row r="153" spans="2:29" ht="16.5" hidden="1" customHeight="1">
      <c r="B153" s="118"/>
      <c r="C153" s="119"/>
      <c r="D153" s="118"/>
      <c r="E153" s="120">
        <f>IF('Device Config'!$B$40=1,'LPDDR2-S4 Specs'!E57,IF('Device Config'!$B$40=2,'LPDDR2-S4 Specs'!K57,IF('Device Config'!$B$40=3,'LPDDR2-S4 Specs'!Q57,IF('Device Config'!$B$40=4,'LPDDR2-S4 Specs'!W57,'LPDDR2-S4 Specs'!AC57))))</f>
        <v>3.2</v>
      </c>
      <c r="F153" s="120">
        <f>IF('Device Config'!$B$40=1,'LPDDR2-S4 Specs'!F57,IF('Device Config'!$B$40=2,'LPDDR2-S4 Specs'!L57,IF('Device Config'!$B$40=3,'LPDDR2-S4 Specs'!R57,IF('Device Config'!$B$40=4,'LPDDR2-S4 Specs'!X57,'LPDDR2-S4 Specs'!AD57))))</f>
        <v>3.2</v>
      </c>
      <c r="G153" s="120">
        <f>IF('Device Config'!$B$40=1,'LPDDR2-S4 Specs'!G57,IF('Device Config'!$B$40=2,'LPDDR2-S4 Specs'!M57,IF('Device Config'!$B$40=3,'LPDDR2-S4 Specs'!S57,IF('Device Config'!$B$40=4,'LPDDR2-S4 Specs'!Y57,'LPDDR2-S4 Specs'!AE57))))</f>
        <v>3.2</v>
      </c>
      <c r="H153" s="120">
        <f>IF('Device Config'!$B$40=1,'LPDDR2-S4 Specs'!H57,IF('Device Config'!$B$40=2,'LPDDR2-S4 Specs'!N57,IF('Device Config'!$B$40=3,'LPDDR2-S4 Specs'!T57,IF('Device Config'!$B$40=4,'LPDDR2-S4 Specs'!Z57,'LPDDR2-S4 Specs'!AF57))))</f>
        <v>3.2</v>
      </c>
      <c r="I153" s="120">
        <f>IF('Device Config'!$B$40=1,'LPDDR2-S4 Specs'!I57,IF('Device Config'!$B$40=2,'LPDDR2-S4 Specs'!O57,IF('Device Config'!$B$40=3,'LPDDR2-S4 Specs'!U57,IF('Device Config'!$B$40=4,'LPDDR2-S4 Specs'!AA57,'LPDDR2-S4 Specs'!AG57))))</f>
        <v>3.2</v>
      </c>
      <c r="J153" s="120"/>
      <c r="K153" s="120"/>
      <c r="L153" s="120"/>
      <c r="M153" s="120"/>
      <c r="N153" s="120">
        <f>HLOOKUP($N$99,$E$99:$I$190,55)</f>
        <v>3.2</v>
      </c>
      <c r="O153" s="120"/>
      <c r="P153" s="120"/>
      <c r="Q153" s="140"/>
      <c r="R153" s="140"/>
      <c r="S153" s="140"/>
      <c r="T153" s="140"/>
      <c r="U153" s="140"/>
      <c r="AC153" s="105"/>
    </row>
    <row r="154" spans="2:29" ht="16.5" hidden="1" customHeight="1">
      <c r="B154" s="118"/>
      <c r="C154" s="119"/>
      <c r="D154" s="118"/>
      <c r="E154" s="120">
        <f>IF('Device Config'!$B$40=1,'LPDDR2-S4 Specs'!E58,IF('Device Config'!$B$40=2,'LPDDR2-S4 Specs'!K58,IF('Device Config'!$B$40=3,'LPDDR2-S4 Specs'!Q58,IF('Device Config'!$B$40=4,'LPDDR2-S4 Specs'!W58,'LPDDR2-S4 Specs'!AC58))))</f>
        <v>0.1</v>
      </c>
      <c r="F154" s="120">
        <f>IF('Device Config'!$B$40=1,'LPDDR2-S4 Specs'!F58,IF('Device Config'!$B$40=2,'LPDDR2-S4 Specs'!L58,IF('Device Config'!$B$40=3,'LPDDR2-S4 Specs'!R58,IF('Device Config'!$B$40=4,'LPDDR2-S4 Specs'!X58,'LPDDR2-S4 Specs'!AD58))))</f>
        <v>0.1</v>
      </c>
      <c r="G154" s="120">
        <f>IF('Device Config'!$B$40=1,'LPDDR2-S4 Specs'!G58,IF('Device Config'!$B$40=2,'LPDDR2-S4 Specs'!M58,IF('Device Config'!$B$40=3,'LPDDR2-S4 Specs'!S58,IF('Device Config'!$B$40=4,'LPDDR2-S4 Specs'!Y58,'LPDDR2-S4 Specs'!AE58))))</f>
        <v>0.1</v>
      </c>
      <c r="H154" s="120">
        <f>IF('Device Config'!$B$40=1,'LPDDR2-S4 Specs'!H58,IF('Device Config'!$B$40=2,'LPDDR2-S4 Specs'!N58,IF('Device Config'!$B$40=3,'LPDDR2-S4 Specs'!T58,IF('Device Config'!$B$40=4,'LPDDR2-S4 Specs'!Z58,'LPDDR2-S4 Specs'!AF58))))</f>
        <v>0.1</v>
      </c>
      <c r="I154" s="120">
        <f>IF('Device Config'!$B$40=1,'LPDDR2-S4 Specs'!I58,IF('Device Config'!$B$40=2,'LPDDR2-S4 Specs'!O58,IF('Device Config'!$B$40=3,'LPDDR2-S4 Specs'!U58,IF('Device Config'!$B$40=4,'LPDDR2-S4 Specs'!AA58,'LPDDR2-S4 Specs'!AG58))))</f>
        <v>0.1</v>
      </c>
      <c r="J154" s="120"/>
      <c r="K154" s="120"/>
      <c r="L154" s="120"/>
      <c r="M154" s="120"/>
      <c r="N154" s="120">
        <f>HLOOKUP($N$99,$E$99:$I$190,56)</f>
        <v>0.1</v>
      </c>
      <c r="O154" s="120"/>
      <c r="P154" s="120"/>
      <c r="Q154" s="140"/>
      <c r="R154" s="140"/>
      <c r="S154" s="140"/>
      <c r="T154" s="140"/>
      <c r="U154" s="140"/>
      <c r="AC154" s="105"/>
    </row>
    <row r="155" spans="2:29" ht="16.5" hidden="1" customHeight="1">
      <c r="B155" s="118"/>
      <c r="C155" s="119"/>
      <c r="D155" s="118"/>
      <c r="E155" s="120">
        <f>IF('Device Config'!$B$40=1,'LPDDR2-S4 Specs'!E59,IF('Device Config'!$B$40=2,'LPDDR2-S4 Specs'!K59,IF('Device Config'!$B$40=3,'LPDDR2-S4 Specs'!Q59,IF('Device Config'!$B$40=4,'LPDDR2-S4 Specs'!W59,'LPDDR2-S4 Specs'!AC59))))</f>
        <v>0.1</v>
      </c>
      <c r="F155" s="120">
        <f>IF('Device Config'!$B$40=1,'LPDDR2-S4 Specs'!F59,IF('Device Config'!$B$40=2,'LPDDR2-S4 Specs'!L59,IF('Device Config'!$B$40=3,'LPDDR2-S4 Specs'!R59,IF('Device Config'!$B$40=4,'LPDDR2-S4 Specs'!X59,'LPDDR2-S4 Specs'!AD59))))</f>
        <v>0.1</v>
      </c>
      <c r="G155" s="120">
        <f>IF('Device Config'!$B$40=1,'LPDDR2-S4 Specs'!G59,IF('Device Config'!$B$40=2,'LPDDR2-S4 Specs'!M59,IF('Device Config'!$B$40=3,'LPDDR2-S4 Specs'!S59,IF('Device Config'!$B$40=4,'LPDDR2-S4 Specs'!Y59,'LPDDR2-S4 Specs'!AE59))))</f>
        <v>0.1</v>
      </c>
      <c r="H155" s="120">
        <f>IF('Device Config'!$B$40=1,'LPDDR2-S4 Specs'!H59,IF('Device Config'!$B$40=2,'LPDDR2-S4 Specs'!N59,IF('Device Config'!$B$40=3,'LPDDR2-S4 Specs'!T59,IF('Device Config'!$B$40=4,'LPDDR2-S4 Specs'!Z59,'LPDDR2-S4 Specs'!AF59))))</f>
        <v>0.1</v>
      </c>
      <c r="I155" s="120">
        <f>IF('Device Config'!$B$40=1,'LPDDR2-S4 Specs'!I59,IF('Device Config'!$B$40=2,'LPDDR2-S4 Specs'!O59,IF('Device Config'!$B$40=3,'LPDDR2-S4 Specs'!U59,IF('Device Config'!$B$40=4,'LPDDR2-S4 Specs'!AA59,'LPDDR2-S4 Specs'!AG59))))</f>
        <v>0.1</v>
      </c>
      <c r="J155" s="120"/>
      <c r="K155" s="120"/>
      <c r="L155" s="120"/>
      <c r="M155" s="120"/>
      <c r="N155" s="120">
        <f>HLOOKUP($N$99,$E$99:$I$190,57)</f>
        <v>0.1</v>
      </c>
      <c r="O155" s="120"/>
      <c r="P155" s="120"/>
      <c r="Q155" s="140"/>
      <c r="R155" s="140"/>
      <c r="S155" s="140"/>
      <c r="T155" s="140"/>
      <c r="U155" s="140"/>
      <c r="AC155" s="105"/>
    </row>
    <row r="156" spans="2:29" ht="14.25" hidden="1" customHeight="1">
      <c r="B156" s="118"/>
      <c r="C156" s="119"/>
      <c r="D156" s="118"/>
      <c r="E156" s="120"/>
      <c r="F156" s="120"/>
      <c r="G156" s="120"/>
      <c r="H156" s="120"/>
      <c r="I156" s="120"/>
      <c r="J156" s="120"/>
      <c r="K156" s="120"/>
      <c r="L156" s="120"/>
      <c r="M156" s="120"/>
      <c r="N156" s="120"/>
      <c r="O156" s="120"/>
      <c r="P156" s="120"/>
      <c r="Q156" s="140"/>
      <c r="R156" s="140"/>
      <c r="S156" s="140"/>
      <c r="T156" s="140"/>
      <c r="U156" s="140"/>
      <c r="AC156" s="105"/>
    </row>
    <row r="157" spans="2:29" ht="14.25" hidden="1" customHeight="1">
      <c r="B157" s="118"/>
      <c r="C157" s="119"/>
      <c r="D157" s="118"/>
      <c r="E157" s="120">
        <f>IF('Device Config'!$B$40=1,'LPDDR2-S4 Specs'!E61,IF('Device Config'!$B$40=2,'LPDDR2-S4 Specs'!K61,IF('Device Config'!$B$40=3,'LPDDR2-S4 Specs'!Q61,IF('Device Config'!$B$40=4,'LPDDR2-S4 Specs'!W61,'LPDDR2-S4 Specs'!AC61))))</f>
        <v>7</v>
      </c>
      <c r="F157" s="120">
        <f>IF('Device Config'!$B$40=1,'LPDDR2-S4 Specs'!F61,IF('Device Config'!$B$40=2,'LPDDR2-S4 Specs'!L61,IF('Device Config'!$B$40=3,'LPDDR2-S4 Specs'!R61,IF('Device Config'!$B$40=4,'LPDDR2-S4 Specs'!X61,'LPDDR2-S4 Specs'!AD61))))</f>
        <v>6</v>
      </c>
      <c r="G157" s="120">
        <f>IF('Device Config'!$B$40=1,'LPDDR2-S4 Specs'!G61,IF('Device Config'!$B$40=2,'LPDDR2-S4 Specs'!M61,IF('Device Config'!$B$40=3,'LPDDR2-S4 Specs'!S61,IF('Device Config'!$B$40=4,'LPDDR2-S4 Specs'!Y61,'LPDDR2-S4 Specs'!AE61))))</f>
        <v>6</v>
      </c>
      <c r="H157" s="120">
        <f>IF('Device Config'!$B$40=1,'LPDDR2-S4 Specs'!H61,IF('Device Config'!$B$40=2,'LPDDR2-S4 Specs'!N61,IF('Device Config'!$B$40=3,'LPDDR2-S4 Specs'!T61,IF('Device Config'!$B$40=4,'LPDDR2-S4 Specs'!Z61,'LPDDR2-S4 Specs'!AF61))))</f>
        <v>6</v>
      </c>
      <c r="I157" s="120">
        <f>IF('Device Config'!$B$40=1,'LPDDR2-S4 Specs'!I61,IF('Device Config'!$B$40=2,'LPDDR2-S4 Specs'!O61,IF('Device Config'!$B$40=3,'LPDDR2-S4 Specs'!U61,IF('Device Config'!$B$40=4,'LPDDR2-S4 Specs'!AA61,'LPDDR2-S4 Specs'!AG61))))</f>
        <v>6</v>
      </c>
      <c r="J157" s="120"/>
      <c r="K157" s="120"/>
      <c r="L157" s="120"/>
      <c r="M157" s="120"/>
      <c r="N157" s="120">
        <f>HLOOKUP($N$99,$E$99:$I$190,59)</f>
        <v>7</v>
      </c>
      <c r="O157" s="120"/>
      <c r="P157" s="120"/>
      <c r="Q157" s="140"/>
      <c r="R157" s="140"/>
      <c r="S157" s="140"/>
      <c r="T157" s="140"/>
      <c r="U157" s="140"/>
      <c r="AC157" s="105"/>
    </row>
    <row r="158" spans="2:29" ht="14.25" hidden="1" customHeight="1">
      <c r="B158" s="118"/>
      <c r="C158" s="119"/>
      <c r="D158" s="118"/>
      <c r="E158" s="120">
        <f>IF('Device Config'!$B$40=1,'LPDDR2-S4 Specs'!E62,IF('Device Config'!$B$40=2,'LPDDR2-S4 Specs'!K62,IF('Device Config'!$B$40=3,'LPDDR2-S4 Specs'!Q62,IF('Device Config'!$B$40=4,'LPDDR2-S4 Specs'!W62,'LPDDR2-S4 Specs'!AC62))))</f>
        <v>7</v>
      </c>
      <c r="F158" s="120">
        <f>IF('Device Config'!$B$40=1,'LPDDR2-S4 Specs'!F62,IF('Device Config'!$B$40=2,'LPDDR2-S4 Specs'!L62,IF('Device Config'!$B$40=3,'LPDDR2-S4 Specs'!R62,IF('Device Config'!$B$40=4,'LPDDR2-S4 Specs'!X62,'LPDDR2-S4 Specs'!AD62))))</f>
        <v>6</v>
      </c>
      <c r="G158" s="120">
        <f>IF('Device Config'!$B$40=1,'LPDDR2-S4 Specs'!G62,IF('Device Config'!$B$40=2,'LPDDR2-S4 Specs'!M62,IF('Device Config'!$B$40=3,'LPDDR2-S4 Specs'!S62,IF('Device Config'!$B$40=4,'LPDDR2-S4 Specs'!Y62,'LPDDR2-S4 Specs'!AE62))))</f>
        <v>6</v>
      </c>
      <c r="H158" s="120">
        <f>IF('Device Config'!$B$40=1,'LPDDR2-S4 Specs'!H62,IF('Device Config'!$B$40=2,'LPDDR2-S4 Specs'!N62,IF('Device Config'!$B$40=3,'LPDDR2-S4 Specs'!T62,IF('Device Config'!$B$40=4,'LPDDR2-S4 Specs'!Z62,'LPDDR2-S4 Specs'!AF62))))</f>
        <v>6</v>
      </c>
      <c r="I158" s="120">
        <f>IF('Device Config'!$B$40=1,'LPDDR2-S4 Specs'!I62,IF('Device Config'!$B$40=2,'LPDDR2-S4 Specs'!O62,IF('Device Config'!$B$40=3,'LPDDR2-S4 Specs'!U62,IF('Device Config'!$B$40=4,'LPDDR2-S4 Specs'!AA62,'LPDDR2-S4 Specs'!AG62))))</f>
        <v>6</v>
      </c>
      <c r="J158" s="120"/>
      <c r="K158" s="120"/>
      <c r="L158" s="120"/>
      <c r="M158" s="120"/>
      <c r="N158" s="120">
        <f>HLOOKUP($N$99,$E$99:$I$190,60)</f>
        <v>7</v>
      </c>
      <c r="O158" s="120"/>
      <c r="P158" s="120"/>
      <c r="Q158" s="140"/>
      <c r="R158" s="140"/>
      <c r="S158" s="140"/>
      <c r="T158" s="140"/>
      <c r="U158" s="140"/>
      <c r="AC158" s="105"/>
    </row>
    <row r="159" spans="2:29" hidden="1">
      <c r="B159" s="118"/>
      <c r="C159" s="119"/>
      <c r="D159" s="118"/>
      <c r="E159" s="120">
        <f>IF('Device Config'!$B$40=1,'LPDDR2-S4 Specs'!E63,IF('Device Config'!$B$40=2,'LPDDR2-S4 Specs'!K63,IF('Device Config'!$B$40=3,'LPDDR2-S4 Specs'!Q63,IF('Device Config'!$B$40=4,'LPDDR2-S4 Specs'!W63,'LPDDR2-S4 Specs'!AC63))))</f>
        <v>0.05</v>
      </c>
      <c r="F159" s="120">
        <f>IF('Device Config'!$B$40=1,'LPDDR2-S4 Specs'!F63,IF('Device Config'!$B$40=2,'LPDDR2-S4 Specs'!L63,IF('Device Config'!$B$40=3,'LPDDR2-S4 Specs'!R63,IF('Device Config'!$B$40=4,'LPDDR2-S4 Specs'!X63,'LPDDR2-S4 Specs'!AD63))))</f>
        <v>0.05</v>
      </c>
      <c r="G159" s="120">
        <f>IF('Device Config'!$B$40=1,'LPDDR2-S4 Specs'!G63,IF('Device Config'!$B$40=2,'LPDDR2-S4 Specs'!M63,IF('Device Config'!$B$40=3,'LPDDR2-S4 Specs'!S63,IF('Device Config'!$B$40=4,'LPDDR2-S4 Specs'!Y63,'LPDDR2-S4 Specs'!AE63))))</f>
        <v>0.05</v>
      </c>
      <c r="H159" s="120">
        <f>IF('Device Config'!$B$40=1,'LPDDR2-S4 Specs'!H63,IF('Device Config'!$B$40=2,'LPDDR2-S4 Specs'!N63,IF('Device Config'!$B$40=3,'LPDDR2-S4 Specs'!T63,IF('Device Config'!$B$40=4,'LPDDR2-S4 Specs'!Z63,'LPDDR2-S4 Specs'!AF63))))</f>
        <v>0.05</v>
      </c>
      <c r="I159" s="120">
        <f>IF('Device Config'!$B$40=1,'LPDDR2-S4 Specs'!I63,IF('Device Config'!$B$40=2,'LPDDR2-S4 Specs'!O63,IF('Device Config'!$B$40=3,'LPDDR2-S4 Specs'!U63,IF('Device Config'!$B$40=4,'LPDDR2-S4 Specs'!AA63,'LPDDR2-S4 Specs'!AG63))))</f>
        <v>0.05</v>
      </c>
      <c r="J159" s="120"/>
      <c r="K159" s="120"/>
      <c r="L159" s="120"/>
      <c r="M159" s="120"/>
      <c r="N159" s="120">
        <f>HLOOKUP($N$99,$E$99:$I$190,61)</f>
        <v>0.05</v>
      </c>
      <c r="O159" s="120"/>
      <c r="P159" s="120"/>
      <c r="Q159" s="140"/>
      <c r="R159" s="140"/>
      <c r="S159" s="140"/>
      <c r="T159" s="140"/>
      <c r="U159" s="140"/>
      <c r="AC159" s="105"/>
    </row>
    <row r="160" spans="2:29" hidden="1">
      <c r="B160" s="118"/>
      <c r="C160" s="119"/>
      <c r="D160" s="118"/>
      <c r="E160" s="120">
        <f>IF('Device Config'!$B$40=1,'LPDDR2-S4 Specs'!E64,IF('Device Config'!$B$40=2,'LPDDR2-S4 Specs'!K64,IF('Device Config'!$B$40=3,'LPDDR2-S4 Specs'!Q64,IF('Device Config'!$B$40=4,'LPDDR2-S4 Specs'!W64,'LPDDR2-S4 Specs'!AC64))))</f>
        <v>0.05</v>
      </c>
      <c r="F160" s="120">
        <f>IF('Device Config'!$B$40=1,'LPDDR2-S4 Specs'!F64,IF('Device Config'!$B$40=2,'LPDDR2-S4 Specs'!L64,IF('Device Config'!$B$40=3,'LPDDR2-S4 Specs'!R64,IF('Device Config'!$B$40=4,'LPDDR2-S4 Specs'!X64,'LPDDR2-S4 Specs'!AD64))))</f>
        <v>0.05</v>
      </c>
      <c r="G160" s="120">
        <f>IF('Device Config'!$B$40=1,'LPDDR2-S4 Specs'!G64,IF('Device Config'!$B$40=2,'LPDDR2-S4 Specs'!M64,IF('Device Config'!$B$40=3,'LPDDR2-S4 Specs'!S64,IF('Device Config'!$B$40=4,'LPDDR2-S4 Specs'!Y64,'LPDDR2-S4 Specs'!AE64))))</f>
        <v>0.05</v>
      </c>
      <c r="H160" s="120">
        <f>IF('Device Config'!$B$40=1,'LPDDR2-S4 Specs'!H64,IF('Device Config'!$B$40=2,'LPDDR2-S4 Specs'!N64,IF('Device Config'!$B$40=3,'LPDDR2-S4 Specs'!T64,IF('Device Config'!$B$40=4,'LPDDR2-S4 Specs'!Z64,'LPDDR2-S4 Specs'!AF64))))</f>
        <v>0.05</v>
      </c>
      <c r="I160" s="120">
        <f>IF('Device Config'!$B$40=1,'LPDDR2-S4 Specs'!I64,IF('Device Config'!$B$40=2,'LPDDR2-S4 Specs'!O64,IF('Device Config'!$B$40=3,'LPDDR2-S4 Specs'!U64,IF('Device Config'!$B$40=4,'LPDDR2-S4 Specs'!AA64,'LPDDR2-S4 Specs'!AG64))))</f>
        <v>0.05</v>
      </c>
      <c r="J160" s="120"/>
      <c r="K160" s="120"/>
      <c r="L160" s="120"/>
      <c r="M160" s="120"/>
      <c r="N160" s="120">
        <f>HLOOKUP($N$99,$E$99:$I$190,62)</f>
        <v>0.05</v>
      </c>
      <c r="O160" s="120"/>
      <c r="P160" s="120"/>
      <c r="Q160" s="140"/>
      <c r="R160" s="140"/>
      <c r="S160" s="140"/>
      <c r="T160" s="140"/>
      <c r="U160" s="140"/>
      <c r="AC160" s="105"/>
    </row>
    <row r="161" spans="2:29" ht="14.25" hidden="1" customHeight="1">
      <c r="B161" s="118"/>
      <c r="C161" s="119"/>
      <c r="D161" s="118"/>
      <c r="E161" s="120">
        <f>IF('Device Config'!$B$40=1,'LPDDR2-S4 Specs'!E65,IF('Device Config'!$B$40=2,'LPDDR2-S4 Specs'!K65,IF('Device Config'!$B$40=3,'LPDDR2-S4 Specs'!Q65,IF('Device Config'!$B$40=4,'LPDDR2-S4 Specs'!W65,'LPDDR2-S4 Specs'!AC65))))</f>
        <v>0.05</v>
      </c>
      <c r="F161" s="120">
        <f>IF('Device Config'!$B$40=1,'LPDDR2-S4 Specs'!F65,IF('Device Config'!$B$40=2,'LPDDR2-S4 Specs'!L65,IF('Device Config'!$B$40=3,'LPDDR2-S4 Specs'!R65,IF('Device Config'!$B$40=4,'LPDDR2-S4 Specs'!X65,'LPDDR2-S4 Specs'!AD65))))</f>
        <v>0.05</v>
      </c>
      <c r="G161" s="120">
        <f>IF('Device Config'!$B$40=1,'LPDDR2-S4 Specs'!G65,IF('Device Config'!$B$40=2,'LPDDR2-S4 Specs'!M65,IF('Device Config'!$B$40=3,'LPDDR2-S4 Specs'!S65,IF('Device Config'!$B$40=4,'LPDDR2-S4 Specs'!Y65,'LPDDR2-S4 Specs'!AE65))))</f>
        <v>0.05</v>
      </c>
      <c r="H161" s="120">
        <f>IF('Device Config'!$B$40=1,'LPDDR2-S4 Specs'!H65,IF('Device Config'!$B$40=2,'LPDDR2-S4 Specs'!N65,IF('Device Config'!$B$40=3,'LPDDR2-S4 Specs'!T65,IF('Device Config'!$B$40=4,'LPDDR2-S4 Specs'!Z65,'LPDDR2-S4 Specs'!AF65))))</f>
        <v>0.05</v>
      </c>
      <c r="I161" s="120">
        <f>IF('Device Config'!$B$40=1,'LPDDR2-S4 Specs'!I65,IF('Device Config'!$B$40=2,'LPDDR2-S4 Specs'!O65,IF('Device Config'!$B$40=3,'LPDDR2-S4 Specs'!U65,IF('Device Config'!$B$40=4,'LPDDR2-S4 Specs'!AA65,'LPDDR2-S4 Specs'!AG65))))</f>
        <v>0.05</v>
      </c>
      <c r="J161" s="120"/>
      <c r="K161" s="120"/>
      <c r="L161" s="120"/>
      <c r="M161" s="120"/>
      <c r="N161" s="120">
        <f>HLOOKUP($N$99,$E$99:$I$190,63)</f>
        <v>0.05</v>
      </c>
      <c r="O161" s="120"/>
      <c r="P161" s="120"/>
      <c r="Q161" s="140"/>
      <c r="R161" s="140"/>
      <c r="S161" s="140"/>
      <c r="T161" s="140"/>
      <c r="U161" s="140"/>
      <c r="AC161" s="105"/>
    </row>
    <row r="162" spans="2:29" ht="14.25" hidden="1" customHeight="1">
      <c r="B162" s="118"/>
      <c r="C162" s="119"/>
      <c r="D162" s="118"/>
      <c r="E162" s="120">
        <f>IF('Device Config'!$B$40=1,'LPDDR2-S4 Specs'!E66,IF('Device Config'!$B$40=2,'LPDDR2-S4 Specs'!K66,IF('Device Config'!$B$40=3,'LPDDR2-S4 Specs'!Q66,IF('Device Config'!$B$40=4,'LPDDR2-S4 Specs'!W66,'LPDDR2-S4 Specs'!AC66))))</f>
        <v>0.05</v>
      </c>
      <c r="F162" s="120">
        <f>IF('Device Config'!$B$40=1,'LPDDR2-S4 Specs'!F66,IF('Device Config'!$B$40=2,'LPDDR2-S4 Specs'!L66,IF('Device Config'!$B$40=3,'LPDDR2-S4 Specs'!R66,IF('Device Config'!$B$40=4,'LPDDR2-S4 Specs'!X66,'LPDDR2-S4 Specs'!AD66))))</f>
        <v>0.05</v>
      </c>
      <c r="G162" s="120">
        <f>IF('Device Config'!$B$40=1,'LPDDR2-S4 Specs'!G66,IF('Device Config'!$B$40=2,'LPDDR2-S4 Specs'!M66,IF('Device Config'!$B$40=3,'LPDDR2-S4 Specs'!S66,IF('Device Config'!$B$40=4,'LPDDR2-S4 Specs'!Y66,'LPDDR2-S4 Specs'!AE66))))</f>
        <v>0.05</v>
      </c>
      <c r="H162" s="120">
        <f>IF('Device Config'!$B$40=1,'LPDDR2-S4 Specs'!H66,IF('Device Config'!$B$40=2,'LPDDR2-S4 Specs'!N66,IF('Device Config'!$B$40=3,'LPDDR2-S4 Specs'!T66,IF('Device Config'!$B$40=4,'LPDDR2-S4 Specs'!Z66,'LPDDR2-S4 Specs'!AF66))))</f>
        <v>0.05</v>
      </c>
      <c r="I162" s="120">
        <f>IF('Device Config'!$B$40=1,'LPDDR2-S4 Specs'!I66,IF('Device Config'!$B$40=2,'LPDDR2-S4 Specs'!O66,IF('Device Config'!$B$40=3,'LPDDR2-S4 Specs'!U66,IF('Device Config'!$B$40=4,'LPDDR2-S4 Specs'!AA66,'LPDDR2-S4 Specs'!AG66))))</f>
        <v>0.05</v>
      </c>
      <c r="J162" s="120"/>
      <c r="K162" s="120"/>
      <c r="L162" s="120"/>
      <c r="M162" s="120"/>
      <c r="N162" s="120">
        <f>HLOOKUP($N$99,$E$99:$I$190,64)</f>
        <v>0.05</v>
      </c>
      <c r="O162" s="120"/>
      <c r="P162" s="120"/>
      <c r="Q162" s="140"/>
      <c r="R162" s="140"/>
      <c r="S162" s="140"/>
      <c r="T162" s="140"/>
      <c r="U162" s="140"/>
      <c r="AC162" s="105"/>
    </row>
    <row r="163" spans="2:29" ht="14.25" hidden="1" customHeight="1">
      <c r="B163" s="118"/>
      <c r="C163" s="119"/>
      <c r="D163" s="118"/>
      <c r="E163" s="120">
        <f>IF('Device Config'!$B$40=1,'LPDDR2-S4 Specs'!E67,IF('Device Config'!$B$40=2,'LPDDR2-S4 Specs'!K67,IF('Device Config'!$B$40=3,'LPDDR2-S4 Specs'!Q67,IF('Device Config'!$B$40=4,'LPDDR2-S4 Specs'!W67,'LPDDR2-S4 Specs'!AC67))))</f>
        <v>7</v>
      </c>
      <c r="F163" s="120">
        <f>IF('Device Config'!$B$40=1,'LPDDR2-S4 Specs'!F67,IF('Device Config'!$B$40=2,'LPDDR2-S4 Specs'!L67,IF('Device Config'!$B$40=3,'LPDDR2-S4 Specs'!R67,IF('Device Config'!$B$40=4,'LPDDR2-S4 Specs'!X67,'LPDDR2-S4 Specs'!AD67))))</f>
        <v>6</v>
      </c>
      <c r="G163" s="120">
        <f>IF('Device Config'!$B$40=1,'LPDDR2-S4 Specs'!G67,IF('Device Config'!$B$40=2,'LPDDR2-S4 Specs'!M67,IF('Device Config'!$B$40=3,'LPDDR2-S4 Specs'!S67,IF('Device Config'!$B$40=4,'LPDDR2-S4 Specs'!Y67,'LPDDR2-S4 Specs'!AE67))))</f>
        <v>6</v>
      </c>
      <c r="H163" s="120">
        <f>IF('Device Config'!$B$40=1,'LPDDR2-S4 Specs'!H67,IF('Device Config'!$B$40=2,'LPDDR2-S4 Specs'!N67,IF('Device Config'!$B$40=3,'LPDDR2-S4 Specs'!T67,IF('Device Config'!$B$40=4,'LPDDR2-S4 Specs'!Z67,'LPDDR2-S4 Specs'!AF67))))</f>
        <v>6</v>
      </c>
      <c r="I163" s="120">
        <f>IF('Device Config'!$B$40=1,'LPDDR2-S4 Specs'!I67,IF('Device Config'!$B$40=2,'LPDDR2-S4 Specs'!O67,IF('Device Config'!$B$40=3,'LPDDR2-S4 Specs'!U67,IF('Device Config'!$B$40=4,'LPDDR2-S4 Specs'!AA67,'LPDDR2-S4 Specs'!AG67))))</f>
        <v>6</v>
      </c>
      <c r="J163" s="120"/>
      <c r="K163" s="120"/>
      <c r="L163" s="120"/>
      <c r="M163" s="120"/>
      <c r="N163" s="120">
        <f>HLOOKUP($N$99,$E$99:$I$190,65)</f>
        <v>7</v>
      </c>
      <c r="O163" s="120"/>
      <c r="P163" s="120"/>
      <c r="Q163" s="140"/>
      <c r="R163" s="140"/>
      <c r="S163" s="140"/>
      <c r="T163" s="140"/>
      <c r="U163" s="140"/>
      <c r="AC163" s="105"/>
    </row>
    <row r="164" spans="2:29" ht="14.25" hidden="1" customHeight="1">
      <c r="B164" s="118"/>
      <c r="C164" s="119"/>
      <c r="D164" s="118"/>
      <c r="E164" s="120">
        <f>IF('Device Config'!$B$40=1,'LPDDR2-S4 Specs'!E68,IF('Device Config'!$B$40=2,'LPDDR2-S4 Specs'!K68,IF('Device Config'!$B$40=3,'LPDDR2-S4 Specs'!Q68,IF('Device Config'!$B$40=4,'LPDDR2-S4 Specs'!W68,'LPDDR2-S4 Specs'!AC68))))</f>
        <v>7</v>
      </c>
      <c r="F164" s="120">
        <f>IF('Device Config'!$B$40=1,'LPDDR2-S4 Specs'!F68,IF('Device Config'!$B$40=2,'LPDDR2-S4 Specs'!L68,IF('Device Config'!$B$40=3,'LPDDR2-S4 Specs'!R68,IF('Device Config'!$B$40=4,'LPDDR2-S4 Specs'!X68,'LPDDR2-S4 Specs'!AD68))))</f>
        <v>6</v>
      </c>
      <c r="G164" s="120">
        <f>IF('Device Config'!$B$40=1,'LPDDR2-S4 Specs'!G68,IF('Device Config'!$B$40=2,'LPDDR2-S4 Specs'!M68,IF('Device Config'!$B$40=3,'LPDDR2-S4 Specs'!S68,IF('Device Config'!$B$40=4,'LPDDR2-S4 Specs'!Y68,'LPDDR2-S4 Specs'!AE68))))</f>
        <v>6</v>
      </c>
      <c r="H164" s="120">
        <f>IF('Device Config'!$B$40=1,'LPDDR2-S4 Specs'!H68,IF('Device Config'!$B$40=2,'LPDDR2-S4 Specs'!N68,IF('Device Config'!$B$40=3,'LPDDR2-S4 Specs'!T68,IF('Device Config'!$B$40=4,'LPDDR2-S4 Specs'!Z68,'LPDDR2-S4 Specs'!AF68))))</f>
        <v>6</v>
      </c>
      <c r="I164" s="120">
        <f>IF('Device Config'!$B$40=1,'LPDDR2-S4 Specs'!I68,IF('Device Config'!$B$40=2,'LPDDR2-S4 Specs'!O68,IF('Device Config'!$B$40=3,'LPDDR2-S4 Specs'!U68,IF('Device Config'!$B$40=4,'LPDDR2-S4 Specs'!AA68,'LPDDR2-S4 Specs'!AG68))))</f>
        <v>6</v>
      </c>
      <c r="J164" s="120"/>
      <c r="K164" s="120"/>
      <c r="L164" s="120"/>
      <c r="M164" s="120"/>
      <c r="N164" s="120">
        <f>HLOOKUP($N$99,$E$99:$I$190,66)</f>
        <v>7</v>
      </c>
      <c r="O164" s="120"/>
      <c r="P164" s="120"/>
      <c r="Q164" s="140"/>
      <c r="R164" s="140"/>
      <c r="S164" s="140"/>
      <c r="T164" s="140"/>
      <c r="U164" s="140"/>
      <c r="AC164" s="105"/>
    </row>
    <row r="165" spans="2:29" hidden="1">
      <c r="B165" s="118"/>
      <c r="C165" s="119"/>
      <c r="D165" s="118"/>
      <c r="E165" s="120">
        <f>IF('Device Config'!$B$40=1,'LPDDR2-S4 Specs'!E69,IF('Device Config'!$B$40=2,'LPDDR2-S4 Specs'!K69,IF('Device Config'!$B$40=3,'LPDDR2-S4 Specs'!Q69,IF('Device Config'!$B$40=4,'LPDDR2-S4 Specs'!W69,'LPDDR2-S4 Specs'!AC69))))</f>
        <v>0.15</v>
      </c>
      <c r="F165" s="120">
        <f>IF('Device Config'!$B$40=1,'LPDDR2-S4 Specs'!F69,IF('Device Config'!$B$40=2,'LPDDR2-S4 Specs'!L69,IF('Device Config'!$B$40=3,'LPDDR2-S4 Specs'!R69,IF('Device Config'!$B$40=4,'LPDDR2-S4 Specs'!X69,'LPDDR2-S4 Specs'!AD69))))</f>
        <v>0.15</v>
      </c>
      <c r="G165" s="120">
        <f>IF('Device Config'!$B$40=1,'LPDDR2-S4 Specs'!G69,IF('Device Config'!$B$40=2,'LPDDR2-S4 Specs'!M69,IF('Device Config'!$B$40=3,'LPDDR2-S4 Specs'!S69,IF('Device Config'!$B$40=4,'LPDDR2-S4 Specs'!Y69,'LPDDR2-S4 Specs'!AE69))))</f>
        <v>0.15</v>
      </c>
      <c r="H165" s="120">
        <f>IF('Device Config'!$B$40=1,'LPDDR2-S4 Specs'!H69,IF('Device Config'!$B$40=2,'LPDDR2-S4 Specs'!N69,IF('Device Config'!$B$40=3,'LPDDR2-S4 Specs'!T69,IF('Device Config'!$B$40=4,'LPDDR2-S4 Specs'!Z69,'LPDDR2-S4 Specs'!AF69))))</f>
        <v>0.15</v>
      </c>
      <c r="I165" s="120">
        <f>IF('Device Config'!$B$40=1,'LPDDR2-S4 Specs'!I69,IF('Device Config'!$B$40=2,'LPDDR2-S4 Specs'!O69,IF('Device Config'!$B$40=3,'LPDDR2-S4 Specs'!U69,IF('Device Config'!$B$40=4,'LPDDR2-S4 Specs'!AA69,'LPDDR2-S4 Specs'!AG69))))</f>
        <v>0.15</v>
      </c>
      <c r="J165" s="120"/>
      <c r="K165" s="120"/>
      <c r="L165" s="120"/>
      <c r="M165" s="120"/>
      <c r="N165" s="120">
        <f>HLOOKUP($N$99,$E$99:$I$190,67)</f>
        <v>0.15</v>
      </c>
      <c r="O165" s="120"/>
      <c r="P165" s="120"/>
      <c r="Q165" s="140"/>
      <c r="R165" s="140"/>
      <c r="S165" s="140"/>
      <c r="T165" s="140"/>
      <c r="U165" s="140"/>
      <c r="AC165" s="105"/>
    </row>
    <row r="166" spans="2:29" hidden="1">
      <c r="B166" s="118"/>
      <c r="C166" s="119"/>
      <c r="D166" s="118"/>
      <c r="E166" s="120">
        <f>IF('Device Config'!$B$40=1,'LPDDR2-S4 Specs'!E70,IF('Device Config'!$B$40=2,'LPDDR2-S4 Specs'!K70,IF('Device Config'!$B$40=3,'LPDDR2-S4 Specs'!Q70,IF('Device Config'!$B$40=4,'LPDDR2-S4 Specs'!W70,'LPDDR2-S4 Specs'!AC70))))</f>
        <v>0.15</v>
      </c>
      <c r="F166" s="120">
        <f>IF('Device Config'!$B$40=1,'LPDDR2-S4 Specs'!F70,IF('Device Config'!$B$40=2,'LPDDR2-S4 Specs'!L70,IF('Device Config'!$B$40=3,'LPDDR2-S4 Specs'!R70,IF('Device Config'!$B$40=4,'LPDDR2-S4 Specs'!X70,'LPDDR2-S4 Specs'!AD70))))</f>
        <v>0.15</v>
      </c>
      <c r="G166" s="120">
        <f>IF('Device Config'!$B$40=1,'LPDDR2-S4 Specs'!G70,IF('Device Config'!$B$40=2,'LPDDR2-S4 Specs'!M70,IF('Device Config'!$B$40=3,'LPDDR2-S4 Specs'!S70,IF('Device Config'!$B$40=4,'LPDDR2-S4 Specs'!Y70,'LPDDR2-S4 Specs'!AE70))))</f>
        <v>0.15</v>
      </c>
      <c r="H166" s="120">
        <f>IF('Device Config'!$B$40=1,'LPDDR2-S4 Specs'!H70,IF('Device Config'!$B$40=2,'LPDDR2-S4 Specs'!N70,IF('Device Config'!$B$40=3,'LPDDR2-S4 Specs'!T70,IF('Device Config'!$B$40=4,'LPDDR2-S4 Specs'!Z70,'LPDDR2-S4 Specs'!AF70))))</f>
        <v>0.15</v>
      </c>
      <c r="I166" s="120">
        <f>IF('Device Config'!$B$40=1,'LPDDR2-S4 Specs'!I70,IF('Device Config'!$B$40=2,'LPDDR2-S4 Specs'!O70,IF('Device Config'!$B$40=3,'LPDDR2-S4 Specs'!U70,IF('Device Config'!$B$40=4,'LPDDR2-S4 Specs'!AA70,'LPDDR2-S4 Specs'!AG70))))</f>
        <v>0.15</v>
      </c>
      <c r="J166" s="120"/>
      <c r="K166" s="120"/>
      <c r="L166" s="120"/>
      <c r="M166" s="120"/>
      <c r="N166" s="120">
        <f>HLOOKUP($N$99,$E$99:$I$190,68)</f>
        <v>0.15</v>
      </c>
      <c r="O166" s="120"/>
      <c r="P166" s="120"/>
      <c r="Q166" s="140"/>
      <c r="R166" s="140"/>
      <c r="S166" s="140"/>
      <c r="T166" s="140"/>
      <c r="U166" s="140"/>
      <c r="AC166" s="105"/>
    </row>
    <row r="167" spans="2:29" hidden="1">
      <c r="B167" s="118"/>
      <c r="C167" s="119"/>
      <c r="D167" s="118"/>
      <c r="E167" s="120">
        <f>IF('Device Config'!$B$40=1,'LPDDR2-S4 Specs'!E71,IF('Device Config'!$B$40=2,'LPDDR2-S4 Specs'!K71,IF('Device Config'!$B$40=3,'LPDDR2-S4 Specs'!Q71,IF('Device Config'!$B$40=4,'LPDDR2-S4 Specs'!W71,'LPDDR2-S4 Specs'!AC71))))</f>
        <v>0.15</v>
      </c>
      <c r="F167" s="120">
        <f>IF('Device Config'!$B$40=1,'LPDDR2-S4 Specs'!F71,IF('Device Config'!$B$40=2,'LPDDR2-S4 Specs'!L71,IF('Device Config'!$B$40=3,'LPDDR2-S4 Specs'!R71,IF('Device Config'!$B$40=4,'LPDDR2-S4 Specs'!X71,'LPDDR2-S4 Specs'!AD71))))</f>
        <v>0.15</v>
      </c>
      <c r="G167" s="120">
        <f>IF('Device Config'!$B$40=1,'LPDDR2-S4 Specs'!G71,IF('Device Config'!$B$40=2,'LPDDR2-S4 Specs'!M71,IF('Device Config'!$B$40=3,'LPDDR2-S4 Specs'!S71,IF('Device Config'!$B$40=4,'LPDDR2-S4 Specs'!Y71,'LPDDR2-S4 Specs'!AE71))))</f>
        <v>0.15</v>
      </c>
      <c r="H167" s="120">
        <f>IF('Device Config'!$B$40=1,'LPDDR2-S4 Specs'!H71,IF('Device Config'!$B$40=2,'LPDDR2-S4 Specs'!N71,IF('Device Config'!$B$40=3,'LPDDR2-S4 Specs'!T71,IF('Device Config'!$B$40=4,'LPDDR2-S4 Specs'!Z71,'LPDDR2-S4 Specs'!AF71))))</f>
        <v>0.15</v>
      </c>
      <c r="I167" s="120">
        <f>IF('Device Config'!$B$40=1,'LPDDR2-S4 Specs'!I71,IF('Device Config'!$B$40=2,'LPDDR2-S4 Specs'!O71,IF('Device Config'!$B$40=3,'LPDDR2-S4 Specs'!U71,IF('Device Config'!$B$40=4,'LPDDR2-S4 Specs'!AA71,'LPDDR2-S4 Specs'!AG71))))</f>
        <v>0.15</v>
      </c>
      <c r="J167" s="120"/>
      <c r="K167" s="120"/>
      <c r="L167" s="120"/>
      <c r="M167" s="120"/>
      <c r="N167" s="120">
        <f>HLOOKUP($N$99,$E$99:$I$190,69)</f>
        <v>0.15</v>
      </c>
      <c r="O167" s="120"/>
      <c r="P167" s="120"/>
      <c r="Q167" s="140"/>
      <c r="R167" s="140"/>
      <c r="S167" s="140"/>
      <c r="T167" s="140"/>
      <c r="U167" s="140"/>
      <c r="AC167" s="105"/>
    </row>
    <row r="168" spans="2:29" hidden="1">
      <c r="B168" s="118"/>
      <c r="C168" s="119"/>
      <c r="D168" s="118"/>
      <c r="E168" s="120">
        <f>IF('Device Config'!$B$40=1,'LPDDR2-S4 Specs'!E72,IF('Device Config'!$B$40=2,'LPDDR2-S4 Specs'!K72,IF('Device Config'!$B$40=3,'LPDDR2-S4 Specs'!Q72,IF('Device Config'!$B$40=4,'LPDDR2-S4 Specs'!W72,'LPDDR2-S4 Specs'!AC72))))</f>
        <v>0.15</v>
      </c>
      <c r="F168" s="120">
        <f>IF('Device Config'!$B$40=1,'LPDDR2-S4 Specs'!F72,IF('Device Config'!$B$40=2,'LPDDR2-S4 Specs'!L72,IF('Device Config'!$B$40=3,'LPDDR2-S4 Specs'!R72,IF('Device Config'!$B$40=4,'LPDDR2-S4 Specs'!X72,'LPDDR2-S4 Specs'!AD72))))</f>
        <v>0.15</v>
      </c>
      <c r="G168" s="120">
        <f>IF('Device Config'!$B$40=1,'LPDDR2-S4 Specs'!G72,IF('Device Config'!$B$40=2,'LPDDR2-S4 Specs'!M72,IF('Device Config'!$B$40=3,'LPDDR2-S4 Specs'!S72,IF('Device Config'!$B$40=4,'LPDDR2-S4 Specs'!Y72,'LPDDR2-S4 Specs'!AE72))))</f>
        <v>0.15</v>
      </c>
      <c r="H168" s="120">
        <f>IF('Device Config'!$B$40=1,'LPDDR2-S4 Specs'!H72,IF('Device Config'!$B$40=2,'LPDDR2-S4 Specs'!N72,IF('Device Config'!$B$40=3,'LPDDR2-S4 Specs'!T72,IF('Device Config'!$B$40=4,'LPDDR2-S4 Specs'!Z72,'LPDDR2-S4 Specs'!AF72))))</f>
        <v>0.15</v>
      </c>
      <c r="I168" s="120">
        <f>IF('Device Config'!$B$40=1,'LPDDR2-S4 Specs'!I72,IF('Device Config'!$B$40=2,'LPDDR2-S4 Specs'!O72,IF('Device Config'!$B$40=3,'LPDDR2-S4 Specs'!U72,IF('Device Config'!$B$40=4,'LPDDR2-S4 Specs'!AA72,'LPDDR2-S4 Specs'!AG72))))</f>
        <v>0.15</v>
      </c>
      <c r="J168" s="120"/>
      <c r="K168" s="120"/>
      <c r="L168" s="120"/>
      <c r="M168" s="120"/>
      <c r="N168" s="120">
        <f>HLOOKUP($N$99,$E$99:$I$190,70)</f>
        <v>0.15</v>
      </c>
      <c r="O168" s="120"/>
      <c r="P168" s="120"/>
      <c r="Q168" s="140"/>
      <c r="R168" s="140"/>
      <c r="S168" s="140"/>
      <c r="T168" s="140"/>
      <c r="U168" s="140"/>
      <c r="AC168" s="105"/>
    </row>
    <row r="169" spans="2:29" hidden="1">
      <c r="B169" s="118"/>
      <c r="C169" s="119"/>
      <c r="D169" s="118"/>
      <c r="E169" s="120">
        <f>IF('Device Config'!$B$40=1,'LPDDR2-S4 Specs'!E73,IF('Device Config'!$B$40=2,'LPDDR2-S4 Specs'!K73,IF('Device Config'!$B$40=3,'LPDDR2-S4 Specs'!Q73,IF('Device Config'!$B$40=4,'LPDDR2-S4 Specs'!W73,'LPDDR2-S4 Specs'!AC73))))</f>
        <v>7</v>
      </c>
      <c r="F169" s="120">
        <f>IF('Device Config'!$B$40=1,'LPDDR2-S4 Specs'!F73,IF('Device Config'!$B$40=2,'LPDDR2-S4 Specs'!L73,IF('Device Config'!$B$40=3,'LPDDR2-S4 Specs'!R73,IF('Device Config'!$B$40=4,'LPDDR2-S4 Specs'!X73,'LPDDR2-S4 Specs'!AD73))))</f>
        <v>6</v>
      </c>
      <c r="G169" s="120">
        <f>IF('Device Config'!$B$40=1,'LPDDR2-S4 Specs'!G73,IF('Device Config'!$B$40=2,'LPDDR2-S4 Specs'!M73,IF('Device Config'!$B$40=3,'LPDDR2-S4 Specs'!S73,IF('Device Config'!$B$40=4,'LPDDR2-S4 Specs'!Y73,'LPDDR2-S4 Specs'!AE73))))</f>
        <v>6</v>
      </c>
      <c r="H169" s="120">
        <f>IF('Device Config'!$B$40=1,'LPDDR2-S4 Specs'!H73,IF('Device Config'!$B$40=2,'LPDDR2-S4 Specs'!N73,IF('Device Config'!$B$40=3,'LPDDR2-S4 Specs'!T73,IF('Device Config'!$B$40=4,'LPDDR2-S4 Specs'!Z73,'LPDDR2-S4 Specs'!AF73))))</f>
        <v>6</v>
      </c>
      <c r="I169" s="120">
        <f>IF('Device Config'!$B$40=1,'LPDDR2-S4 Specs'!I73,IF('Device Config'!$B$40=2,'LPDDR2-S4 Specs'!O73,IF('Device Config'!$B$40=3,'LPDDR2-S4 Specs'!U73,IF('Device Config'!$B$40=4,'LPDDR2-S4 Specs'!AA73,'LPDDR2-S4 Specs'!AG73))))</f>
        <v>6</v>
      </c>
      <c r="J169" s="120"/>
      <c r="K169" s="120"/>
      <c r="L169" s="120"/>
      <c r="M169" s="120"/>
      <c r="N169" s="120">
        <f>HLOOKUP($N$99,$E$99:$I$190,71)</f>
        <v>7</v>
      </c>
      <c r="O169" s="120"/>
      <c r="P169" s="120"/>
      <c r="Q169" s="140"/>
      <c r="R169" s="140"/>
      <c r="S169" s="140"/>
      <c r="T169" s="140"/>
      <c r="U169" s="140"/>
      <c r="AC169" s="105"/>
    </row>
    <row r="170" spans="2:29" hidden="1">
      <c r="B170" s="118"/>
      <c r="C170" s="119"/>
      <c r="D170" s="118"/>
      <c r="E170" s="120">
        <f>IF('Device Config'!$B$40=1,'LPDDR2-S4 Specs'!E74,IF('Device Config'!$B$40=2,'LPDDR2-S4 Specs'!K74,IF('Device Config'!$B$40=3,'LPDDR2-S4 Specs'!Q74,IF('Device Config'!$B$40=4,'LPDDR2-S4 Specs'!W74,'LPDDR2-S4 Specs'!AC74))))</f>
        <v>7</v>
      </c>
      <c r="F170" s="120">
        <f>IF('Device Config'!$B$40=1,'LPDDR2-S4 Specs'!F74,IF('Device Config'!$B$40=2,'LPDDR2-S4 Specs'!L74,IF('Device Config'!$B$40=3,'LPDDR2-S4 Specs'!R74,IF('Device Config'!$B$40=4,'LPDDR2-S4 Specs'!X74,'LPDDR2-S4 Specs'!AD74))))</f>
        <v>6</v>
      </c>
      <c r="G170" s="120">
        <f>IF('Device Config'!$B$40=1,'LPDDR2-S4 Specs'!G74,IF('Device Config'!$B$40=2,'LPDDR2-S4 Specs'!M74,IF('Device Config'!$B$40=3,'LPDDR2-S4 Specs'!S74,IF('Device Config'!$B$40=4,'LPDDR2-S4 Specs'!Y74,'LPDDR2-S4 Specs'!AE74))))</f>
        <v>6</v>
      </c>
      <c r="H170" s="120">
        <f>IF('Device Config'!$B$40=1,'LPDDR2-S4 Specs'!H74,IF('Device Config'!$B$40=2,'LPDDR2-S4 Specs'!N74,IF('Device Config'!$B$40=3,'LPDDR2-S4 Specs'!T74,IF('Device Config'!$B$40=4,'LPDDR2-S4 Specs'!Z74,'LPDDR2-S4 Specs'!AF74))))</f>
        <v>6</v>
      </c>
      <c r="I170" s="120">
        <f>IF('Device Config'!$B$40=1,'LPDDR2-S4 Specs'!I74,IF('Device Config'!$B$40=2,'LPDDR2-S4 Specs'!O74,IF('Device Config'!$B$40=3,'LPDDR2-S4 Specs'!U74,IF('Device Config'!$B$40=4,'LPDDR2-S4 Specs'!AA74,'LPDDR2-S4 Specs'!AG74))))</f>
        <v>6</v>
      </c>
      <c r="J170" s="120"/>
      <c r="K170" s="120"/>
      <c r="L170" s="120"/>
      <c r="M170" s="120"/>
      <c r="N170" s="120">
        <f>HLOOKUP($N$99,$E$99:$I$190,72)</f>
        <v>7</v>
      </c>
      <c r="O170" s="120"/>
      <c r="P170" s="120"/>
      <c r="Q170" s="140"/>
      <c r="R170" s="140"/>
      <c r="S170" s="140"/>
      <c r="T170" s="140"/>
      <c r="U170" s="140"/>
      <c r="AC170" s="105"/>
    </row>
    <row r="171" spans="2:29" hidden="1">
      <c r="B171" s="118"/>
      <c r="C171" s="119"/>
      <c r="D171" s="118"/>
      <c r="E171" s="120">
        <f>IF('Device Config'!$B$40=1,'LPDDR2-S4 Specs'!E75,IF('Device Config'!$B$40=2,'LPDDR2-S4 Specs'!K75,IF('Device Config'!$B$40=3,'LPDDR2-S4 Specs'!Q75,IF('Device Config'!$B$40=4,'LPDDR2-S4 Specs'!W75,'LPDDR2-S4 Specs'!AC75))))</f>
        <v>6</v>
      </c>
      <c r="F171" s="120">
        <f>IF('Device Config'!$B$40=1,'LPDDR2-S4 Specs'!F75,IF('Device Config'!$B$40=2,'LPDDR2-S4 Specs'!L75,IF('Device Config'!$B$40=3,'LPDDR2-S4 Specs'!R75,IF('Device Config'!$B$40=4,'LPDDR2-S4 Specs'!X75,'LPDDR2-S4 Specs'!AD75))))</f>
        <v>6</v>
      </c>
      <c r="G171" s="120">
        <f>IF('Device Config'!$B$40=1,'LPDDR2-S4 Specs'!G75,IF('Device Config'!$B$40=2,'LPDDR2-S4 Specs'!M75,IF('Device Config'!$B$40=3,'LPDDR2-S4 Specs'!S75,IF('Device Config'!$B$40=4,'LPDDR2-S4 Specs'!Y75,'LPDDR2-S4 Specs'!AE75))))</f>
        <v>6</v>
      </c>
      <c r="H171" s="120">
        <f>IF('Device Config'!$B$40=1,'LPDDR2-S4 Specs'!H75,IF('Device Config'!$B$40=2,'LPDDR2-S4 Specs'!N75,IF('Device Config'!$B$40=3,'LPDDR2-S4 Specs'!T75,IF('Device Config'!$B$40=4,'LPDDR2-S4 Specs'!Z75,'LPDDR2-S4 Specs'!AF75))))</f>
        <v>6</v>
      </c>
      <c r="I171" s="120">
        <f>IF('Device Config'!$B$40=1,'LPDDR2-S4 Specs'!I75,IF('Device Config'!$B$40=2,'LPDDR2-S4 Specs'!O75,IF('Device Config'!$B$40=3,'LPDDR2-S4 Specs'!U75,IF('Device Config'!$B$40=4,'LPDDR2-S4 Specs'!AA75,'LPDDR2-S4 Specs'!AG75))))</f>
        <v>6</v>
      </c>
      <c r="J171" s="120"/>
      <c r="K171" s="120"/>
      <c r="L171" s="120"/>
      <c r="M171" s="120"/>
      <c r="N171" s="120">
        <f>HLOOKUP($N$99,$E$99:$I$190,73)</f>
        <v>6</v>
      </c>
      <c r="O171" s="120"/>
      <c r="P171" s="120"/>
      <c r="Q171" s="140"/>
      <c r="R171" s="140"/>
      <c r="S171" s="140"/>
      <c r="T171" s="140"/>
      <c r="U171" s="140"/>
      <c r="AC171" s="105"/>
    </row>
    <row r="172" spans="2:29" hidden="1">
      <c r="B172" s="118"/>
      <c r="C172" s="119"/>
      <c r="D172" s="118"/>
      <c r="E172" s="120">
        <f>IF('Device Config'!$B$40=1,'LPDDR2-S4 Specs'!E76,IF('Device Config'!$B$40=2,'LPDDR2-S4 Specs'!K76,IF('Device Config'!$B$40=3,'LPDDR2-S4 Specs'!Q76,IF('Device Config'!$B$40=4,'LPDDR2-S4 Specs'!W76,'LPDDR2-S4 Specs'!AC76))))</f>
        <v>6</v>
      </c>
      <c r="F172" s="120">
        <f>IF('Device Config'!$B$40=1,'LPDDR2-S4 Specs'!F76,IF('Device Config'!$B$40=2,'LPDDR2-S4 Specs'!L76,IF('Device Config'!$B$40=3,'LPDDR2-S4 Specs'!R76,IF('Device Config'!$B$40=4,'LPDDR2-S4 Specs'!X76,'LPDDR2-S4 Specs'!AD76))))</f>
        <v>6</v>
      </c>
      <c r="G172" s="120">
        <f>IF('Device Config'!$B$40=1,'LPDDR2-S4 Specs'!G76,IF('Device Config'!$B$40=2,'LPDDR2-S4 Specs'!M76,IF('Device Config'!$B$40=3,'LPDDR2-S4 Specs'!S76,IF('Device Config'!$B$40=4,'LPDDR2-S4 Specs'!Y76,'LPDDR2-S4 Specs'!AE76))))</f>
        <v>6</v>
      </c>
      <c r="H172" s="120">
        <f>IF('Device Config'!$B$40=1,'LPDDR2-S4 Specs'!H76,IF('Device Config'!$B$40=2,'LPDDR2-S4 Specs'!N76,IF('Device Config'!$B$40=3,'LPDDR2-S4 Specs'!T76,IF('Device Config'!$B$40=4,'LPDDR2-S4 Specs'!Z76,'LPDDR2-S4 Specs'!AF76))))</f>
        <v>6</v>
      </c>
      <c r="I172" s="120">
        <f>IF('Device Config'!$B$40=1,'LPDDR2-S4 Specs'!I76,IF('Device Config'!$B$40=2,'LPDDR2-S4 Specs'!O76,IF('Device Config'!$B$40=3,'LPDDR2-S4 Specs'!U76,IF('Device Config'!$B$40=4,'LPDDR2-S4 Specs'!AA76,'LPDDR2-S4 Specs'!AG76))))</f>
        <v>6</v>
      </c>
      <c r="J172" s="120"/>
      <c r="K172" s="120"/>
      <c r="L172" s="120"/>
      <c r="M172" s="120"/>
      <c r="N172" s="120">
        <f>HLOOKUP($N$99,$E$99:$I$190,74)</f>
        <v>6</v>
      </c>
      <c r="O172" s="120"/>
      <c r="P172" s="120"/>
      <c r="Q172" s="140"/>
      <c r="R172" s="140"/>
      <c r="S172" s="140"/>
      <c r="T172" s="140"/>
      <c r="U172" s="140"/>
      <c r="AC172" s="105"/>
    </row>
    <row r="173" spans="2:29" hidden="1">
      <c r="B173" s="118"/>
      <c r="C173" s="119"/>
      <c r="D173" s="118"/>
      <c r="E173" s="120">
        <f>IF('Device Config'!$B$40=1,'LPDDR2-S4 Specs'!E77,IF('Device Config'!$B$40=2,'LPDDR2-S4 Specs'!K77,IF('Device Config'!$B$40=3,'LPDDR2-S4 Specs'!Q77,IF('Device Config'!$B$40=4,'LPDDR2-S4 Specs'!W77,'LPDDR2-S4 Specs'!AC77))))</f>
        <v>25</v>
      </c>
      <c r="F173" s="120">
        <f>IF('Device Config'!$B$40=1,'LPDDR2-S4 Specs'!F77,IF('Device Config'!$B$40=2,'LPDDR2-S4 Specs'!L77,IF('Device Config'!$B$40=3,'LPDDR2-S4 Specs'!R77,IF('Device Config'!$B$40=4,'LPDDR2-S4 Specs'!X77,'LPDDR2-S4 Specs'!AD77))))</f>
        <v>25</v>
      </c>
      <c r="G173" s="120">
        <f>IF('Device Config'!$B$40=1,'LPDDR2-S4 Specs'!G77,IF('Device Config'!$B$40=2,'LPDDR2-S4 Specs'!M77,IF('Device Config'!$B$40=3,'LPDDR2-S4 Specs'!S77,IF('Device Config'!$B$40=4,'LPDDR2-S4 Specs'!Y77,'LPDDR2-S4 Specs'!AE77))))</f>
        <v>25</v>
      </c>
      <c r="H173" s="120">
        <f>IF('Device Config'!$B$40=1,'LPDDR2-S4 Specs'!H77,IF('Device Config'!$B$40=2,'LPDDR2-S4 Specs'!N77,IF('Device Config'!$B$40=3,'LPDDR2-S4 Specs'!T77,IF('Device Config'!$B$40=4,'LPDDR2-S4 Specs'!Z77,'LPDDR2-S4 Specs'!AF77))))</f>
        <v>25</v>
      </c>
      <c r="I173" s="120">
        <f>IF('Device Config'!$B$40=1,'LPDDR2-S4 Specs'!I77,IF('Device Config'!$B$40=2,'LPDDR2-S4 Specs'!O77,IF('Device Config'!$B$40=3,'LPDDR2-S4 Specs'!U77,IF('Device Config'!$B$40=4,'LPDDR2-S4 Specs'!AA77,'LPDDR2-S4 Specs'!AG77))))</f>
        <v>25</v>
      </c>
      <c r="J173" s="120"/>
      <c r="K173" s="120"/>
      <c r="L173" s="120"/>
      <c r="M173" s="120"/>
      <c r="N173" s="120">
        <f>HLOOKUP($N$99,$E$99:$I$190,75)</f>
        <v>25</v>
      </c>
      <c r="O173" s="120"/>
      <c r="P173" s="120"/>
      <c r="Q173" s="140"/>
      <c r="R173" s="140"/>
      <c r="S173" s="140"/>
      <c r="T173" s="140"/>
      <c r="U173" s="140"/>
      <c r="AC173" s="105"/>
    </row>
    <row r="174" spans="2:29" ht="16.5" hidden="1" customHeight="1">
      <c r="B174" s="118"/>
      <c r="C174" s="119"/>
      <c r="D174" s="118"/>
      <c r="E174" s="120">
        <f>IF('Device Config'!$B$40=1,'LPDDR2-S4 Specs'!E78,IF('Device Config'!$B$40=2,'LPDDR2-S4 Specs'!K78,IF('Device Config'!$B$40=3,'LPDDR2-S4 Specs'!Q78,IF('Device Config'!$B$40=4,'LPDDR2-S4 Specs'!W78,'LPDDR2-S4 Specs'!AC78))))</f>
        <v>25</v>
      </c>
      <c r="F174" s="120">
        <f>IF('Device Config'!$B$40=1,'LPDDR2-S4 Specs'!F78,IF('Device Config'!$B$40=2,'LPDDR2-S4 Specs'!L78,IF('Device Config'!$B$40=3,'LPDDR2-S4 Specs'!R78,IF('Device Config'!$B$40=4,'LPDDR2-S4 Specs'!X78,'LPDDR2-S4 Specs'!AD78))))</f>
        <v>25</v>
      </c>
      <c r="G174" s="120">
        <f>IF('Device Config'!$B$40=1,'LPDDR2-S4 Specs'!G78,IF('Device Config'!$B$40=2,'LPDDR2-S4 Specs'!M78,IF('Device Config'!$B$40=3,'LPDDR2-S4 Specs'!S78,IF('Device Config'!$B$40=4,'LPDDR2-S4 Specs'!Y78,'LPDDR2-S4 Specs'!AE78))))</f>
        <v>25</v>
      </c>
      <c r="H174" s="120">
        <f>IF('Device Config'!$B$40=1,'LPDDR2-S4 Specs'!H78,IF('Device Config'!$B$40=2,'LPDDR2-S4 Specs'!N78,IF('Device Config'!$B$40=3,'LPDDR2-S4 Specs'!T78,IF('Device Config'!$B$40=4,'LPDDR2-S4 Specs'!Z78,'LPDDR2-S4 Specs'!AF78))))</f>
        <v>25</v>
      </c>
      <c r="I174" s="120">
        <f>IF('Device Config'!$B$40=1,'LPDDR2-S4 Specs'!I78,IF('Device Config'!$B$40=2,'LPDDR2-S4 Specs'!O78,IF('Device Config'!$B$40=3,'LPDDR2-S4 Specs'!U78,IF('Device Config'!$B$40=4,'LPDDR2-S4 Specs'!AA78,'LPDDR2-S4 Specs'!AG78))))</f>
        <v>25</v>
      </c>
      <c r="J174" s="120"/>
      <c r="K174" s="120"/>
      <c r="L174" s="120"/>
      <c r="M174" s="120"/>
      <c r="N174" s="120">
        <f>HLOOKUP($N$99,$E$99:$I$190,76)</f>
        <v>25</v>
      </c>
      <c r="O174" s="120"/>
      <c r="P174" s="120"/>
      <c r="Q174" s="140"/>
      <c r="R174" s="140"/>
      <c r="S174" s="140"/>
      <c r="T174" s="140"/>
      <c r="U174" s="140"/>
      <c r="AC174" s="105"/>
    </row>
    <row r="175" spans="2:29" ht="16.5" hidden="1" customHeight="1">
      <c r="B175" s="118"/>
      <c r="C175" s="119"/>
      <c r="D175" s="118"/>
      <c r="E175" s="120">
        <f>IF('Device Config'!$B$40=1,'LPDDR2-S4 Specs'!E79,IF('Device Config'!$B$40=2,'LPDDR2-S4 Specs'!K79,IF('Device Config'!$B$40=3,'LPDDR2-S4 Specs'!Q79,IF('Device Config'!$B$40=4,'LPDDR2-S4 Specs'!W79,'LPDDR2-S4 Specs'!AC79))))</f>
        <v>8</v>
      </c>
      <c r="F175" s="120">
        <f>IF('Device Config'!$B$40=1,'LPDDR2-S4 Specs'!F79,IF('Device Config'!$B$40=2,'LPDDR2-S4 Specs'!L79,IF('Device Config'!$B$40=3,'LPDDR2-S4 Specs'!R79,IF('Device Config'!$B$40=4,'LPDDR2-S4 Specs'!X79,'LPDDR2-S4 Specs'!AD79))))</f>
        <v>6</v>
      </c>
      <c r="G175" s="120">
        <f>IF('Device Config'!$B$40=1,'LPDDR2-S4 Specs'!G79,IF('Device Config'!$B$40=2,'LPDDR2-S4 Specs'!M79,IF('Device Config'!$B$40=3,'LPDDR2-S4 Specs'!S79,IF('Device Config'!$B$40=4,'LPDDR2-S4 Specs'!Y79,'LPDDR2-S4 Specs'!AE79))))</f>
        <v>6</v>
      </c>
      <c r="H175" s="120">
        <f>IF('Device Config'!$B$40=1,'LPDDR2-S4 Specs'!H79,IF('Device Config'!$B$40=2,'LPDDR2-S4 Specs'!N79,IF('Device Config'!$B$40=3,'LPDDR2-S4 Specs'!T79,IF('Device Config'!$B$40=4,'LPDDR2-S4 Specs'!Z79,'LPDDR2-S4 Specs'!AF79))))</f>
        <v>6</v>
      </c>
      <c r="I175" s="120">
        <f>IF('Device Config'!$B$40=1,'LPDDR2-S4 Specs'!I79,IF('Device Config'!$B$40=2,'LPDDR2-S4 Specs'!O79,IF('Device Config'!$B$40=3,'LPDDR2-S4 Specs'!U79,IF('Device Config'!$B$40=4,'LPDDR2-S4 Specs'!AA79,'LPDDR2-S4 Specs'!AG79))))</f>
        <v>6</v>
      </c>
      <c r="J175" s="120"/>
      <c r="K175" s="120"/>
      <c r="L175" s="120"/>
      <c r="M175" s="120"/>
      <c r="N175" s="120">
        <f>HLOOKUP($N$99,$E$99:$I$190,77)</f>
        <v>8</v>
      </c>
      <c r="O175" s="120"/>
      <c r="P175" s="120"/>
      <c r="Q175" s="140"/>
      <c r="R175" s="140"/>
      <c r="S175" s="140"/>
      <c r="T175" s="140"/>
      <c r="U175" s="140"/>
      <c r="AC175" s="105"/>
    </row>
    <row r="176" spans="2:29" ht="16.5" hidden="1" customHeight="1">
      <c r="B176" s="118"/>
      <c r="C176" s="119"/>
      <c r="D176" s="118"/>
      <c r="E176" s="120">
        <f>IF('Device Config'!$B$40=1,'LPDDR2-S4 Specs'!E80,IF('Device Config'!$B$40=2,'LPDDR2-S4 Specs'!K80,IF('Device Config'!$B$40=3,'LPDDR2-S4 Specs'!Q80,IF('Device Config'!$B$40=4,'LPDDR2-S4 Specs'!W80,'LPDDR2-S4 Specs'!AC80))))</f>
        <v>8</v>
      </c>
      <c r="F176" s="120">
        <f>IF('Device Config'!$B$40=1,'LPDDR2-S4 Specs'!F80,IF('Device Config'!$B$40=2,'LPDDR2-S4 Specs'!L80,IF('Device Config'!$B$40=3,'LPDDR2-S4 Specs'!R80,IF('Device Config'!$B$40=4,'LPDDR2-S4 Specs'!X80,'LPDDR2-S4 Specs'!AD80))))</f>
        <v>6</v>
      </c>
      <c r="G176" s="120">
        <f>IF('Device Config'!$B$40=1,'LPDDR2-S4 Specs'!G80,IF('Device Config'!$B$40=2,'LPDDR2-S4 Specs'!M80,IF('Device Config'!$B$40=3,'LPDDR2-S4 Specs'!S80,IF('Device Config'!$B$40=4,'LPDDR2-S4 Specs'!Y80,'LPDDR2-S4 Specs'!AE80))))</f>
        <v>6</v>
      </c>
      <c r="H176" s="120">
        <f>IF('Device Config'!$B$40=1,'LPDDR2-S4 Specs'!H80,IF('Device Config'!$B$40=2,'LPDDR2-S4 Specs'!N80,IF('Device Config'!$B$40=3,'LPDDR2-S4 Specs'!T80,IF('Device Config'!$B$40=4,'LPDDR2-S4 Specs'!Z80,'LPDDR2-S4 Specs'!AF80))))</f>
        <v>6</v>
      </c>
      <c r="I176" s="120">
        <f>IF('Device Config'!$B$40=1,'LPDDR2-S4 Specs'!I80,IF('Device Config'!$B$40=2,'LPDDR2-S4 Specs'!O80,IF('Device Config'!$B$40=3,'LPDDR2-S4 Specs'!U80,IF('Device Config'!$B$40=4,'LPDDR2-S4 Specs'!AA80,'LPDDR2-S4 Specs'!AG80))))</f>
        <v>6</v>
      </c>
      <c r="J176" s="120"/>
      <c r="K176" s="120"/>
      <c r="L176" s="120"/>
      <c r="M176" s="120"/>
      <c r="N176" s="120">
        <f>HLOOKUP($N$99,$E$99:$I$190,78)</f>
        <v>8</v>
      </c>
      <c r="O176" s="120"/>
      <c r="P176" s="120"/>
      <c r="Q176" s="140"/>
      <c r="R176" s="140"/>
      <c r="S176" s="140"/>
      <c r="T176" s="140"/>
      <c r="U176" s="140"/>
      <c r="AC176" s="105"/>
    </row>
    <row r="177" spans="2:29" ht="16.5" hidden="1" customHeight="1">
      <c r="B177" s="118"/>
      <c r="C177" s="119"/>
      <c r="D177" s="118"/>
      <c r="E177" s="120">
        <f>IF('Device Config'!$B$40=1,'LPDDR2-S4 Specs'!E81,IF('Device Config'!$B$40=2,'LPDDR2-S4 Specs'!K81,IF('Device Config'!$B$40=3,'LPDDR2-S4 Specs'!Q81,IF('Device Config'!$B$40=4,'LPDDR2-S4 Specs'!W81,'LPDDR2-S4 Specs'!AC81))))</f>
        <v>0.05</v>
      </c>
      <c r="F177" s="120">
        <f>IF('Device Config'!$B$40=1,'LPDDR2-S4 Specs'!F81,IF('Device Config'!$B$40=2,'LPDDR2-S4 Specs'!L81,IF('Device Config'!$B$40=3,'LPDDR2-S4 Specs'!R81,IF('Device Config'!$B$40=4,'LPDDR2-S4 Specs'!X81,'LPDDR2-S4 Specs'!AD81))))</f>
        <v>0.05</v>
      </c>
      <c r="G177" s="120">
        <f>IF('Device Config'!$B$40=1,'LPDDR2-S4 Specs'!G81,IF('Device Config'!$B$40=2,'LPDDR2-S4 Specs'!M81,IF('Device Config'!$B$40=3,'LPDDR2-S4 Specs'!S81,IF('Device Config'!$B$40=4,'LPDDR2-S4 Specs'!Y81,'LPDDR2-S4 Specs'!AE81))))</f>
        <v>0.05</v>
      </c>
      <c r="H177" s="120">
        <f>IF('Device Config'!$B$40=1,'LPDDR2-S4 Specs'!H81,IF('Device Config'!$B$40=2,'LPDDR2-S4 Specs'!N81,IF('Device Config'!$B$40=3,'LPDDR2-S4 Specs'!T81,IF('Device Config'!$B$40=4,'LPDDR2-S4 Specs'!Z81,'LPDDR2-S4 Specs'!AF81))))</f>
        <v>0.05</v>
      </c>
      <c r="I177" s="120">
        <f>IF('Device Config'!$B$40=1,'LPDDR2-S4 Specs'!I81,IF('Device Config'!$B$40=2,'LPDDR2-S4 Specs'!O81,IF('Device Config'!$B$40=3,'LPDDR2-S4 Specs'!U81,IF('Device Config'!$B$40=4,'LPDDR2-S4 Specs'!AA81,'LPDDR2-S4 Specs'!AG81))))</f>
        <v>0.05</v>
      </c>
      <c r="J177" s="120"/>
      <c r="K177" s="120"/>
      <c r="L177" s="120"/>
      <c r="M177" s="120"/>
      <c r="N177" s="120">
        <f>HLOOKUP($N$99,$E$99:$I$190,79)</f>
        <v>0.05</v>
      </c>
      <c r="O177" s="120"/>
      <c r="P177" s="120"/>
      <c r="Q177" s="140"/>
      <c r="R177" s="140"/>
      <c r="S177" s="140"/>
      <c r="T177" s="140"/>
      <c r="U177" s="140"/>
      <c r="AC177" s="105"/>
    </row>
    <row r="178" spans="2:29" ht="16.5" hidden="1" customHeight="1">
      <c r="B178" s="118"/>
      <c r="C178" s="119"/>
      <c r="D178" s="118"/>
      <c r="E178" s="120">
        <f>IF('Device Config'!$B$40=1,'LPDDR2-S4 Specs'!E82,IF('Device Config'!$B$40=2,'LPDDR2-S4 Specs'!K82,IF('Device Config'!$B$40=3,'LPDDR2-S4 Specs'!Q82,IF('Device Config'!$B$40=4,'LPDDR2-S4 Specs'!W82,'LPDDR2-S4 Specs'!AC82))))</f>
        <v>0.05</v>
      </c>
      <c r="F178" s="120">
        <f>IF('Device Config'!$B$40=1,'LPDDR2-S4 Specs'!F82,IF('Device Config'!$B$40=2,'LPDDR2-S4 Specs'!L82,IF('Device Config'!$B$40=3,'LPDDR2-S4 Specs'!R82,IF('Device Config'!$B$40=4,'LPDDR2-S4 Specs'!X82,'LPDDR2-S4 Specs'!AD82))))</f>
        <v>0.05</v>
      </c>
      <c r="G178" s="120">
        <f>IF('Device Config'!$B$40=1,'LPDDR2-S4 Specs'!G82,IF('Device Config'!$B$40=2,'LPDDR2-S4 Specs'!M82,IF('Device Config'!$B$40=3,'LPDDR2-S4 Specs'!S82,IF('Device Config'!$B$40=4,'LPDDR2-S4 Specs'!Y82,'LPDDR2-S4 Specs'!AE82))))</f>
        <v>0.05</v>
      </c>
      <c r="H178" s="120">
        <f>IF('Device Config'!$B$40=1,'LPDDR2-S4 Specs'!H82,IF('Device Config'!$B$40=2,'LPDDR2-S4 Specs'!N82,IF('Device Config'!$B$40=3,'LPDDR2-S4 Specs'!T82,IF('Device Config'!$B$40=4,'LPDDR2-S4 Specs'!Z82,'LPDDR2-S4 Specs'!AF82))))</f>
        <v>0.05</v>
      </c>
      <c r="I178" s="120">
        <f>IF('Device Config'!$B$40=1,'LPDDR2-S4 Specs'!I82,IF('Device Config'!$B$40=2,'LPDDR2-S4 Specs'!O82,IF('Device Config'!$B$40=3,'LPDDR2-S4 Specs'!U82,IF('Device Config'!$B$40=4,'LPDDR2-S4 Specs'!AA82,'LPDDR2-S4 Specs'!AG82))))</f>
        <v>0.05</v>
      </c>
      <c r="J178" s="120"/>
      <c r="K178" s="120"/>
      <c r="L178" s="120"/>
      <c r="M178" s="120"/>
      <c r="N178" s="120">
        <f>HLOOKUP($N$99,$E$99:$I$190,80)</f>
        <v>0.05</v>
      </c>
      <c r="O178" s="120"/>
      <c r="P178" s="120"/>
      <c r="Q178" s="140"/>
      <c r="R178" s="140"/>
      <c r="S178" s="140"/>
      <c r="T178" s="140"/>
      <c r="U178" s="140"/>
      <c r="AC178" s="105"/>
    </row>
    <row r="179" spans="2:29" ht="16.5" hidden="1" customHeight="1">
      <c r="B179" s="118"/>
      <c r="C179" s="119"/>
      <c r="D179" s="118"/>
      <c r="E179" s="120">
        <f>IF('Device Config'!$B$40=1,'LPDDR2-S4 Specs'!E83,IF('Device Config'!$B$40=2,'LPDDR2-S4 Specs'!K83,IF('Device Config'!$B$40=3,'LPDDR2-S4 Specs'!Q83,IF('Device Config'!$B$40=4,'LPDDR2-S4 Specs'!W83,'LPDDR2-S4 Specs'!AC83))))</f>
        <v>0.1</v>
      </c>
      <c r="F179" s="120">
        <f>IF('Device Config'!$B$40=1,'LPDDR2-S4 Specs'!F83,IF('Device Config'!$B$40=2,'LPDDR2-S4 Specs'!L83,IF('Device Config'!$B$40=3,'LPDDR2-S4 Specs'!R83,IF('Device Config'!$B$40=4,'LPDDR2-S4 Specs'!X83,'LPDDR2-S4 Specs'!AD83))))</f>
        <v>0.1</v>
      </c>
      <c r="G179" s="120">
        <f>IF('Device Config'!$B$40=1,'LPDDR2-S4 Specs'!G83,IF('Device Config'!$B$40=2,'LPDDR2-S4 Specs'!M83,IF('Device Config'!$B$40=3,'LPDDR2-S4 Specs'!S83,IF('Device Config'!$B$40=4,'LPDDR2-S4 Specs'!Y83,'LPDDR2-S4 Specs'!AE83))))</f>
        <v>0.1</v>
      </c>
      <c r="H179" s="120">
        <f>IF('Device Config'!$B$40=1,'LPDDR2-S4 Specs'!H83,IF('Device Config'!$B$40=2,'LPDDR2-S4 Specs'!N83,IF('Device Config'!$B$40=3,'LPDDR2-S4 Specs'!T83,IF('Device Config'!$B$40=4,'LPDDR2-S4 Specs'!Z83,'LPDDR2-S4 Specs'!AF83))))</f>
        <v>0.1</v>
      </c>
      <c r="I179" s="120">
        <f>IF('Device Config'!$B$40=1,'LPDDR2-S4 Specs'!I83,IF('Device Config'!$B$40=2,'LPDDR2-S4 Specs'!O83,IF('Device Config'!$B$40=3,'LPDDR2-S4 Specs'!U83,IF('Device Config'!$B$40=4,'LPDDR2-S4 Specs'!AA83,'LPDDR2-S4 Specs'!AG83))))</f>
        <v>0.1</v>
      </c>
      <c r="J179" s="120"/>
      <c r="K179" s="120"/>
      <c r="L179" s="120"/>
      <c r="M179" s="120"/>
      <c r="N179" s="120">
        <f>HLOOKUP($N$99,$E$99:$I$190,81)</f>
        <v>0.1</v>
      </c>
      <c r="O179" s="120"/>
      <c r="P179" s="120"/>
      <c r="Q179" s="140"/>
      <c r="R179" s="140"/>
      <c r="S179" s="140"/>
      <c r="T179" s="140"/>
      <c r="U179" s="140"/>
      <c r="AC179" s="105"/>
    </row>
    <row r="180" spans="2:29" ht="16.5" hidden="1" customHeight="1">
      <c r="B180" s="118"/>
      <c r="C180" s="119"/>
      <c r="D180" s="118"/>
      <c r="E180" s="120">
        <f>IF('Device Config'!$B$40=1,'LPDDR2-S4 Specs'!E84,IF('Device Config'!$B$40=2,'LPDDR2-S4 Specs'!K84,IF('Device Config'!$B$40=3,'LPDDR2-S4 Specs'!Q84,IF('Device Config'!$B$40=4,'LPDDR2-S4 Specs'!W84,'LPDDR2-S4 Specs'!AC84))))</f>
        <v>0.1</v>
      </c>
      <c r="F180" s="120">
        <f>IF('Device Config'!$B$40=1,'LPDDR2-S4 Specs'!F84,IF('Device Config'!$B$40=2,'LPDDR2-S4 Specs'!L84,IF('Device Config'!$B$40=3,'LPDDR2-S4 Specs'!R84,IF('Device Config'!$B$40=4,'LPDDR2-S4 Specs'!X84,'LPDDR2-S4 Specs'!AD84))))</f>
        <v>0.1</v>
      </c>
      <c r="G180" s="120">
        <f>IF('Device Config'!$B$40=1,'LPDDR2-S4 Specs'!G84,IF('Device Config'!$B$40=2,'LPDDR2-S4 Specs'!M84,IF('Device Config'!$B$40=3,'LPDDR2-S4 Specs'!S84,IF('Device Config'!$B$40=4,'LPDDR2-S4 Specs'!Y84,'LPDDR2-S4 Specs'!AE84))))</f>
        <v>0.1</v>
      </c>
      <c r="H180" s="120">
        <f>IF('Device Config'!$B$40=1,'LPDDR2-S4 Specs'!H84,IF('Device Config'!$B$40=2,'LPDDR2-S4 Specs'!N84,IF('Device Config'!$B$40=3,'LPDDR2-S4 Specs'!T84,IF('Device Config'!$B$40=4,'LPDDR2-S4 Specs'!Z84,'LPDDR2-S4 Specs'!AF84))))</f>
        <v>0.1</v>
      </c>
      <c r="I180" s="120">
        <f>IF('Device Config'!$B$40=1,'LPDDR2-S4 Specs'!I84,IF('Device Config'!$B$40=2,'LPDDR2-S4 Specs'!O84,IF('Device Config'!$B$40=3,'LPDDR2-S4 Specs'!U84,IF('Device Config'!$B$40=4,'LPDDR2-S4 Specs'!AA84,'LPDDR2-S4 Specs'!AG84))))</f>
        <v>0.1</v>
      </c>
      <c r="J180" s="120"/>
      <c r="K180" s="120"/>
      <c r="L180" s="120"/>
      <c r="M180" s="120"/>
      <c r="N180" s="120">
        <f>HLOOKUP($N$99,$E$99:$I$190,82)</f>
        <v>0.1</v>
      </c>
      <c r="O180" s="120"/>
      <c r="P180" s="120"/>
      <c r="Q180" s="140"/>
      <c r="R180" s="140"/>
      <c r="S180" s="140"/>
      <c r="T180" s="140"/>
      <c r="U180" s="140"/>
      <c r="AC180" s="105"/>
    </row>
    <row r="181" spans="2:29" ht="14.25" hidden="1" customHeight="1">
      <c r="B181" s="118"/>
      <c r="C181" s="119"/>
      <c r="D181" s="118"/>
      <c r="E181" s="120"/>
      <c r="F181" s="120"/>
      <c r="G181" s="120"/>
      <c r="H181" s="120"/>
      <c r="I181" s="120"/>
      <c r="J181" s="120"/>
      <c r="K181" s="120"/>
      <c r="L181" s="120"/>
      <c r="M181" s="120"/>
      <c r="N181" s="120"/>
      <c r="O181" s="120"/>
      <c r="P181" s="120"/>
      <c r="Q181" s="140"/>
      <c r="R181" s="140"/>
      <c r="S181" s="140"/>
      <c r="T181" s="140"/>
      <c r="U181" s="140"/>
      <c r="AC181" s="105"/>
    </row>
    <row r="182" spans="2:29" ht="14.25" hidden="1" customHeight="1">
      <c r="B182" s="118"/>
      <c r="C182" s="119"/>
      <c r="D182" s="118"/>
      <c r="E182" s="120">
        <f>IF('Device Config'!$B$40=1,'LPDDR2-S4 Specs'!E86,IF('Device Config'!$B$40=2,'LPDDR2-S4 Specs'!K86,IF('Device Config'!$B$40=3,'LPDDR2-S4 Specs'!Q86,IF('Device Config'!$B$40=4,'LPDDR2-S4 Specs'!W86,'LPDDR2-S4 Specs'!AC86))))</f>
        <v>1.875</v>
      </c>
      <c r="F182" s="120">
        <f>IF('Device Config'!$B$40=1,'LPDDR2-S4 Specs'!F86,IF('Device Config'!$B$40=2,'LPDDR2-S4 Specs'!L86,IF('Device Config'!$B$40=3,'LPDDR2-S4 Specs'!R86,IF('Device Config'!$B$40=4,'LPDDR2-S4 Specs'!X86,'LPDDR2-S4 Specs'!AD86))))</f>
        <v>2.5</v>
      </c>
      <c r="G182" s="120">
        <f>IF('Device Config'!$B$40=1,'LPDDR2-S4 Specs'!G86,IF('Device Config'!$B$40=2,'LPDDR2-S4 Specs'!M86,IF('Device Config'!$B$40=3,'LPDDR2-S4 Specs'!S86,IF('Device Config'!$B$40=4,'LPDDR2-S4 Specs'!Y86,'LPDDR2-S4 Specs'!AE86))))</f>
        <v>3</v>
      </c>
      <c r="H182" s="120">
        <f>IF('Device Config'!$B$40=1,'LPDDR2-S4 Specs'!H86,IF('Device Config'!$B$40=2,'LPDDR2-S4 Specs'!N86,IF('Device Config'!$B$40=3,'LPDDR2-S4 Specs'!T86,IF('Device Config'!$B$40=4,'LPDDR2-S4 Specs'!Z86,'LPDDR2-S4 Specs'!AF86))))</f>
        <v>3.75</v>
      </c>
      <c r="I182" s="120">
        <f>IF('Device Config'!$B$40=1,'LPDDR2-S4 Specs'!I86,IF('Device Config'!$B$40=2,'LPDDR2-S4 Specs'!O86,IF('Device Config'!$B$40=3,'LPDDR2-S4 Specs'!U86,IF('Device Config'!$B$40=4,'LPDDR2-S4 Specs'!AA86,'LPDDR2-S4 Specs'!AG86))))</f>
        <v>5</v>
      </c>
      <c r="J182" s="120"/>
      <c r="K182" s="120"/>
      <c r="L182" s="120"/>
      <c r="M182" s="120"/>
      <c r="N182" s="120">
        <f>HLOOKUP($N$99,$E$99:$I$190,84)</f>
        <v>1.875</v>
      </c>
      <c r="O182" s="120"/>
      <c r="P182" s="120"/>
      <c r="Q182" s="140"/>
      <c r="R182" s="140"/>
      <c r="S182" s="140"/>
      <c r="T182" s="140"/>
      <c r="U182" s="140"/>
      <c r="AC182" s="105"/>
    </row>
    <row r="183" spans="2:29" ht="16.5" hidden="1" customHeight="1">
      <c r="B183" s="118"/>
      <c r="C183" s="119"/>
      <c r="D183" s="118"/>
      <c r="E183" s="120">
        <f>IF('Device Config'!$B$40=1,'LPDDR2-S4 Specs'!E87,IF('Device Config'!$B$40=2,'LPDDR2-S4 Specs'!K87,IF('Device Config'!$B$40=3,'LPDDR2-S4 Specs'!Q87,IF('Device Config'!$B$40=4,'LPDDR2-S4 Specs'!W87,'LPDDR2-S4 Specs'!AC87))))</f>
        <v>10</v>
      </c>
      <c r="F183" s="120">
        <f>IF('Device Config'!$B$40=1,'LPDDR2-S4 Specs'!F87,IF('Device Config'!$B$40=2,'LPDDR2-S4 Specs'!L87,IF('Device Config'!$B$40=3,'LPDDR2-S4 Specs'!R87,IF('Device Config'!$B$40=4,'LPDDR2-S4 Specs'!X87,'LPDDR2-S4 Specs'!AD87))))</f>
        <v>10</v>
      </c>
      <c r="G183" s="120">
        <f>IF('Device Config'!$B$40=1,'LPDDR2-S4 Specs'!G87,IF('Device Config'!$B$40=2,'LPDDR2-S4 Specs'!M87,IF('Device Config'!$B$40=3,'LPDDR2-S4 Specs'!S87,IF('Device Config'!$B$40=4,'LPDDR2-S4 Specs'!Y87,'LPDDR2-S4 Specs'!AE87))))</f>
        <v>10</v>
      </c>
      <c r="H183" s="120">
        <f>IF('Device Config'!$B$40=1,'LPDDR2-S4 Specs'!H87,IF('Device Config'!$B$40=2,'LPDDR2-S4 Specs'!N87,IF('Device Config'!$B$40=3,'LPDDR2-S4 Specs'!T87,IF('Device Config'!$B$40=4,'LPDDR2-S4 Specs'!Z87,'LPDDR2-S4 Specs'!AF87))))</f>
        <v>10</v>
      </c>
      <c r="I183" s="120">
        <f>IF('Device Config'!$B$40=1,'LPDDR2-S4 Specs'!I87,IF('Device Config'!$B$40=2,'LPDDR2-S4 Specs'!O87,IF('Device Config'!$B$40=3,'LPDDR2-S4 Specs'!U87,IF('Device Config'!$B$40=4,'LPDDR2-S4 Specs'!AA87,'LPDDR2-S4 Specs'!AG87))))</f>
        <v>10</v>
      </c>
      <c r="J183" s="120"/>
      <c r="K183" s="120"/>
      <c r="L183" s="120"/>
      <c r="M183" s="120"/>
      <c r="N183" s="120">
        <f>HLOOKUP($N$99,$E$99:$I$190,85)</f>
        <v>10</v>
      </c>
      <c r="O183" s="120"/>
      <c r="P183" s="120"/>
      <c r="Q183" s="140"/>
      <c r="R183" s="140"/>
      <c r="S183" s="140"/>
      <c r="T183" s="140"/>
      <c r="U183" s="140"/>
      <c r="AC183" s="105"/>
    </row>
    <row r="184" spans="2:29" hidden="1">
      <c r="B184" s="118"/>
      <c r="C184" s="119"/>
      <c r="D184" s="118"/>
      <c r="E184" s="120">
        <f>IF('Device Config'!$B$40=1,'LPDDR2-S4 Specs'!E88,IF('Device Config'!$B$40=2,'LPDDR2-S4 Specs'!K88,IF('Device Config'!$B$40=3,'LPDDR2-S4 Specs'!Q88,IF('Device Config'!$B$40=4,'LPDDR2-S4 Specs'!W88,'LPDDR2-S4 Specs'!AC88))))</f>
        <v>10</v>
      </c>
      <c r="F184" s="120">
        <f>IF('Device Config'!$B$40=1,'LPDDR2-S4 Specs'!F88,IF('Device Config'!$B$40=2,'LPDDR2-S4 Specs'!L88,IF('Device Config'!$B$40=3,'LPDDR2-S4 Specs'!R88,IF('Device Config'!$B$40=4,'LPDDR2-S4 Specs'!X88,'LPDDR2-S4 Specs'!AD88))))</f>
        <v>10</v>
      </c>
      <c r="G184" s="120">
        <f>IF('Device Config'!$B$40=1,'LPDDR2-S4 Specs'!G88,IF('Device Config'!$B$40=2,'LPDDR2-S4 Specs'!M88,IF('Device Config'!$B$40=3,'LPDDR2-S4 Specs'!S88,IF('Device Config'!$B$40=4,'LPDDR2-S4 Specs'!Y88,'LPDDR2-S4 Specs'!AE88))))</f>
        <v>10</v>
      </c>
      <c r="H184" s="120">
        <f>IF('Device Config'!$B$40=1,'LPDDR2-S4 Specs'!H88,IF('Device Config'!$B$40=2,'LPDDR2-S4 Specs'!N88,IF('Device Config'!$B$40=3,'LPDDR2-S4 Specs'!T88,IF('Device Config'!$B$40=4,'LPDDR2-S4 Specs'!Z88,'LPDDR2-S4 Specs'!AF88))))</f>
        <v>10</v>
      </c>
      <c r="I184" s="120">
        <f>IF('Device Config'!$B$40=1,'LPDDR2-S4 Specs'!I88,IF('Device Config'!$B$40=2,'LPDDR2-S4 Specs'!O88,IF('Device Config'!$B$40=3,'LPDDR2-S4 Specs'!U88,IF('Device Config'!$B$40=4,'LPDDR2-S4 Specs'!AA88,'LPDDR2-S4 Specs'!AG88))))</f>
        <v>10</v>
      </c>
      <c r="J184" s="120"/>
      <c r="K184" s="120"/>
      <c r="L184" s="120"/>
      <c r="M184" s="120"/>
      <c r="N184" s="120">
        <f>HLOOKUP($N$99,$E$99:$I$190,86)</f>
        <v>10</v>
      </c>
      <c r="O184" s="120"/>
      <c r="P184" s="120"/>
      <c r="Q184" s="140"/>
      <c r="R184" s="140"/>
      <c r="S184" s="140"/>
      <c r="T184" s="140"/>
      <c r="U184" s="140"/>
      <c r="AC184" s="105"/>
    </row>
    <row r="185" spans="2:29" hidden="1">
      <c r="B185" s="118"/>
      <c r="C185" s="119"/>
      <c r="D185" s="118"/>
      <c r="E185" s="120">
        <f>IF('Device Config'!$B$40=1,'LPDDR2-S4 Specs'!E89,IF('Device Config'!$B$40=2,'LPDDR2-S4 Specs'!K89,IF('Device Config'!$B$40=3,'LPDDR2-S4 Specs'!Q89,IF('Device Config'!$B$40=4,'LPDDR2-S4 Specs'!W89,'LPDDR2-S4 Specs'!AC89))))</f>
        <v>60</v>
      </c>
      <c r="F185" s="120">
        <f>IF('Device Config'!$B$40=1,'LPDDR2-S4 Specs'!F89,IF('Device Config'!$B$40=2,'LPDDR2-S4 Specs'!L89,IF('Device Config'!$B$40=3,'LPDDR2-S4 Specs'!R89,IF('Device Config'!$B$40=4,'LPDDR2-S4 Specs'!X89,'LPDDR2-S4 Specs'!AD89))))</f>
        <v>60</v>
      </c>
      <c r="G185" s="120">
        <f>IF('Device Config'!$B$40=1,'LPDDR2-S4 Specs'!G89,IF('Device Config'!$B$40=2,'LPDDR2-S4 Specs'!M89,IF('Device Config'!$B$40=3,'LPDDR2-S4 Specs'!S89,IF('Device Config'!$B$40=4,'LPDDR2-S4 Specs'!Y89,'LPDDR2-S4 Specs'!AE89))))</f>
        <v>60</v>
      </c>
      <c r="H185" s="120">
        <f>IF('Device Config'!$B$40=1,'LPDDR2-S4 Specs'!H89,IF('Device Config'!$B$40=2,'LPDDR2-S4 Specs'!N89,IF('Device Config'!$B$40=3,'LPDDR2-S4 Specs'!T89,IF('Device Config'!$B$40=4,'LPDDR2-S4 Specs'!Z89,'LPDDR2-S4 Specs'!AF89))))</f>
        <v>60</v>
      </c>
      <c r="I185" s="120">
        <f>IF('Device Config'!$B$40=1,'LPDDR2-S4 Specs'!I89,IF('Device Config'!$B$40=2,'LPDDR2-S4 Specs'!O89,IF('Device Config'!$B$40=3,'LPDDR2-S4 Specs'!U89,IF('Device Config'!$B$40=4,'LPDDR2-S4 Specs'!AA89,'LPDDR2-S4 Specs'!AG89))))</f>
        <v>60</v>
      </c>
      <c r="J185" s="120"/>
      <c r="K185" s="120"/>
      <c r="L185" s="120"/>
      <c r="M185" s="120"/>
      <c r="N185" s="120">
        <f>HLOOKUP($N$99,$E$99:$I$190,87)</f>
        <v>60</v>
      </c>
      <c r="O185" s="120"/>
      <c r="P185" s="120"/>
      <c r="Q185" s="140"/>
      <c r="R185" s="140"/>
      <c r="S185" s="140"/>
      <c r="T185" s="140"/>
      <c r="U185" s="140"/>
      <c r="AC185" s="105"/>
    </row>
    <row r="186" spans="2:29" hidden="1">
      <c r="B186" s="118"/>
      <c r="C186" s="119"/>
      <c r="D186" s="118"/>
      <c r="E186" s="120">
        <f>IF('Device Config'!$B$40=1,'LPDDR2-S4 Specs'!E90,IF('Device Config'!$B$40=2,'LPDDR2-S4 Specs'!K90,IF('Device Config'!$B$40=3,'LPDDR2-S4 Specs'!Q90,IF('Device Config'!$B$40=4,'LPDDR2-S4 Specs'!W90,'LPDDR2-S4 Specs'!AC90))))</f>
        <v>42</v>
      </c>
      <c r="F186" s="120">
        <f>IF('Device Config'!$B$40=1,'LPDDR2-S4 Specs'!F90,IF('Device Config'!$B$40=2,'LPDDR2-S4 Specs'!L90,IF('Device Config'!$B$40=3,'LPDDR2-S4 Specs'!R90,IF('Device Config'!$B$40=4,'LPDDR2-S4 Specs'!X90,'LPDDR2-S4 Specs'!AD90))))</f>
        <v>42</v>
      </c>
      <c r="G186" s="120">
        <f>IF('Device Config'!$B$40=1,'LPDDR2-S4 Specs'!G90,IF('Device Config'!$B$40=2,'LPDDR2-S4 Specs'!M90,IF('Device Config'!$B$40=3,'LPDDR2-S4 Specs'!S90,IF('Device Config'!$B$40=4,'LPDDR2-S4 Specs'!Y90,'LPDDR2-S4 Specs'!AE90))))</f>
        <v>42</v>
      </c>
      <c r="H186" s="120">
        <f>IF('Device Config'!$B$40=1,'LPDDR2-S4 Specs'!H90,IF('Device Config'!$B$40=2,'LPDDR2-S4 Specs'!N90,IF('Device Config'!$B$40=3,'LPDDR2-S4 Specs'!T90,IF('Device Config'!$B$40=4,'LPDDR2-S4 Specs'!Z90,'LPDDR2-S4 Specs'!AF90))))</f>
        <v>42</v>
      </c>
      <c r="I186" s="120">
        <f>IF('Device Config'!$B$40=1,'LPDDR2-S4 Specs'!I90,IF('Device Config'!$B$40=2,'LPDDR2-S4 Specs'!O90,IF('Device Config'!$B$40=3,'LPDDR2-S4 Specs'!U90,IF('Device Config'!$B$40=4,'LPDDR2-S4 Specs'!AA90,'LPDDR2-S4 Specs'!AG90))))</f>
        <v>42</v>
      </c>
      <c r="J186" s="120"/>
      <c r="K186" s="120"/>
      <c r="L186" s="120"/>
      <c r="M186" s="120"/>
      <c r="N186" s="120">
        <f>HLOOKUP($N$99,$E$99:$I$190,88)</f>
        <v>42</v>
      </c>
      <c r="O186" s="120"/>
      <c r="P186" s="120"/>
      <c r="Q186" s="140"/>
      <c r="R186" s="140"/>
      <c r="S186" s="140"/>
      <c r="T186" s="140"/>
      <c r="U186" s="140"/>
      <c r="AC186" s="105"/>
    </row>
    <row r="187" spans="2:29" hidden="1">
      <c r="B187" s="118"/>
      <c r="C187" s="119"/>
      <c r="D187" s="118"/>
      <c r="E187" s="120">
        <f>IF('Device Config'!$B$40=1,'LPDDR2-S4 Specs'!E91,IF('Device Config'!$B$40=2,'LPDDR2-S4 Specs'!K91,IF('Device Config'!$B$40=3,'LPDDR2-S4 Specs'!Q91,IF('Device Config'!$B$40=4,'LPDDR2-S4 Specs'!W91,'LPDDR2-S4 Specs'!AC91))))</f>
        <v>130</v>
      </c>
      <c r="F187" s="120">
        <f>IF('Device Config'!$B$40=1,'LPDDR2-S4 Specs'!F91,IF('Device Config'!$B$40=2,'LPDDR2-S4 Specs'!L91,IF('Device Config'!$B$40=3,'LPDDR2-S4 Specs'!R91,IF('Device Config'!$B$40=4,'LPDDR2-S4 Specs'!X91,'LPDDR2-S4 Specs'!AD91))))</f>
        <v>130</v>
      </c>
      <c r="G187" s="120">
        <f>IF('Device Config'!$B$40=1,'LPDDR2-S4 Specs'!G91,IF('Device Config'!$B$40=2,'LPDDR2-S4 Specs'!M91,IF('Device Config'!$B$40=3,'LPDDR2-S4 Specs'!S91,IF('Device Config'!$B$40=4,'LPDDR2-S4 Specs'!Y91,'LPDDR2-S4 Specs'!AE91))))</f>
        <v>130</v>
      </c>
      <c r="H187" s="120">
        <f>IF('Device Config'!$B$40=1,'LPDDR2-S4 Specs'!H91,IF('Device Config'!$B$40=2,'LPDDR2-S4 Specs'!N91,IF('Device Config'!$B$40=3,'LPDDR2-S4 Specs'!T91,IF('Device Config'!$B$40=4,'LPDDR2-S4 Specs'!Z91,'LPDDR2-S4 Specs'!AF91))))</f>
        <v>130</v>
      </c>
      <c r="I187" s="120">
        <f>IF('Device Config'!$B$40=1,'LPDDR2-S4 Specs'!I91,IF('Device Config'!$B$40=2,'LPDDR2-S4 Specs'!O91,IF('Device Config'!$B$40=3,'LPDDR2-S4 Specs'!U91,IF('Device Config'!$B$40=4,'LPDDR2-S4 Specs'!AA91,'LPDDR2-S4 Specs'!AG91))))</f>
        <v>130</v>
      </c>
      <c r="J187" s="120"/>
      <c r="K187" s="120"/>
      <c r="L187" s="120"/>
      <c r="M187" s="120"/>
      <c r="N187" s="120">
        <f>HLOOKUP($N$99,$E$99:$I$190,89)</f>
        <v>130</v>
      </c>
      <c r="O187" s="120"/>
      <c r="P187" s="120"/>
      <c r="Q187" s="140"/>
      <c r="R187" s="140"/>
      <c r="S187" s="140"/>
      <c r="T187" s="140"/>
      <c r="U187" s="140"/>
      <c r="AC187" s="105"/>
    </row>
    <row r="188" spans="2:29" hidden="1">
      <c r="B188" s="118"/>
      <c r="C188" s="119"/>
      <c r="D188" s="118"/>
      <c r="E188" s="120">
        <f>IF('Device Config'!$B$40=1,'LPDDR2-S4 Specs'!E92,IF('Device Config'!$B$40=2,'LPDDR2-S4 Specs'!K92,IF('Device Config'!$B$40=3,'LPDDR2-S4 Specs'!Q92,IF('Device Config'!$B$40=4,'LPDDR2-S4 Specs'!W92,'LPDDR2-S4 Specs'!AC92))))</f>
        <v>3.9</v>
      </c>
      <c r="F188" s="120">
        <f>IF('Device Config'!$B$40=1,'LPDDR2-S4 Specs'!F92,IF('Device Config'!$B$40=2,'LPDDR2-S4 Specs'!L92,IF('Device Config'!$B$40=3,'LPDDR2-S4 Specs'!R92,IF('Device Config'!$B$40=4,'LPDDR2-S4 Specs'!X92,'LPDDR2-S4 Specs'!AD92))))</f>
        <v>3.9</v>
      </c>
      <c r="G188" s="120">
        <f>IF('Device Config'!$B$40=1,'LPDDR2-S4 Specs'!G92,IF('Device Config'!$B$40=2,'LPDDR2-S4 Specs'!M92,IF('Device Config'!$B$40=3,'LPDDR2-S4 Specs'!S92,IF('Device Config'!$B$40=4,'LPDDR2-S4 Specs'!Y92,'LPDDR2-S4 Specs'!AE92))))</f>
        <v>3.9</v>
      </c>
      <c r="H188" s="120">
        <f>IF('Device Config'!$B$40=1,'LPDDR2-S4 Specs'!H92,IF('Device Config'!$B$40=2,'LPDDR2-S4 Specs'!N92,IF('Device Config'!$B$40=3,'LPDDR2-S4 Specs'!T92,IF('Device Config'!$B$40=4,'LPDDR2-S4 Specs'!Z92,'LPDDR2-S4 Specs'!AF92))))</f>
        <v>3.9</v>
      </c>
      <c r="I188" s="120">
        <f>IF('Device Config'!$B$40=1,'LPDDR2-S4 Specs'!I92,IF('Device Config'!$B$40=2,'LPDDR2-S4 Specs'!O92,IF('Device Config'!$B$40=3,'LPDDR2-S4 Specs'!U92,IF('Device Config'!$B$40=4,'LPDDR2-S4 Specs'!AA92,'LPDDR2-S4 Specs'!AG92))))</f>
        <v>3.9</v>
      </c>
      <c r="J188" s="120"/>
      <c r="K188" s="120"/>
      <c r="L188" s="120"/>
      <c r="M188" s="120"/>
      <c r="N188" s="120">
        <f>HLOOKUP($N$99,$E$99:$I$190,90)</f>
        <v>3.9</v>
      </c>
      <c r="O188" s="120"/>
      <c r="P188" s="120"/>
      <c r="Q188" s="140"/>
      <c r="R188" s="140"/>
      <c r="S188" s="140"/>
      <c r="T188" s="140"/>
      <c r="U188" s="140"/>
      <c r="AC188" s="105"/>
    </row>
    <row r="189" spans="2:29" hidden="1">
      <c r="B189" s="118"/>
      <c r="C189" s="119"/>
      <c r="D189" s="118"/>
      <c r="E189" s="120">
        <f>IF('Device Config'!$B$40=1,'LPDDR2-S4 Specs'!E93,IF('Device Config'!$B$40=2,'LPDDR2-S4 Specs'!K93,IF('Device Config'!$B$40=3,'LPDDR2-S4 Specs'!Q93,IF('Device Config'!$B$40=4,'LPDDR2-S4 Specs'!W93,'LPDDR2-S4 Specs'!AC93))))</f>
        <v>1.875</v>
      </c>
      <c r="F189" s="120">
        <f>IF('Device Config'!$B$40=1,'LPDDR2-S4 Specs'!F93,IF('Device Config'!$B$40=2,'LPDDR2-S4 Specs'!L93,IF('Device Config'!$B$40=3,'LPDDR2-S4 Specs'!R93,IF('Device Config'!$B$40=4,'LPDDR2-S4 Specs'!X93,'LPDDR2-S4 Specs'!AD93))))</f>
        <v>2.5</v>
      </c>
      <c r="G189" s="120">
        <f>IF('Device Config'!$B$40=1,'LPDDR2-S4 Specs'!G93,IF('Device Config'!$B$40=2,'LPDDR2-S4 Specs'!M93,IF('Device Config'!$B$40=3,'LPDDR2-S4 Specs'!S93,IF('Device Config'!$B$40=4,'LPDDR2-S4 Specs'!Y93,'LPDDR2-S4 Specs'!AE93))))</f>
        <v>3</v>
      </c>
      <c r="H189" s="120">
        <f>IF('Device Config'!$B$40=1,'LPDDR2-S4 Specs'!H93,IF('Device Config'!$B$40=2,'LPDDR2-S4 Specs'!N93,IF('Device Config'!$B$40=3,'LPDDR2-S4 Specs'!T93,IF('Device Config'!$B$40=4,'LPDDR2-S4 Specs'!Z93,'LPDDR2-S4 Specs'!AF93))))</f>
        <v>3.75</v>
      </c>
      <c r="I189" s="120">
        <f>IF('Device Config'!$B$40=1,'LPDDR2-S4 Specs'!I93,IF('Device Config'!$B$40=2,'LPDDR2-S4 Specs'!O93,IF('Device Config'!$B$40=3,'LPDDR2-S4 Specs'!U93,IF('Device Config'!$B$40=4,'LPDDR2-S4 Specs'!AA93,'LPDDR2-S4 Specs'!AG93))))</f>
        <v>5</v>
      </c>
      <c r="J189" s="120"/>
      <c r="K189" s="120"/>
      <c r="L189" s="120"/>
      <c r="M189" s="120"/>
      <c r="N189" s="120">
        <f>HLOOKUP($N$99,$E$99:$I$190,91)</f>
        <v>1.875</v>
      </c>
      <c r="O189" s="120"/>
      <c r="P189" s="120"/>
      <c r="Q189" s="139"/>
      <c r="R189" s="139"/>
      <c r="S189" s="139"/>
      <c r="T189" s="139"/>
      <c r="U189" s="139"/>
      <c r="AC189" s="105"/>
    </row>
    <row r="190" spans="2:29" hidden="1">
      <c r="B190" s="118"/>
      <c r="C190" s="119"/>
      <c r="D190" s="118"/>
      <c r="E190" s="120">
        <f>IF('Device Config'!$B$40=1,'LPDDR2-S4 Specs'!E94,IF('Device Config'!$B$40=2,'LPDDR2-S4 Specs'!K94,IF('Device Config'!$B$40=3,'LPDDR2-S4 Specs'!Q94,IF('Device Config'!$B$40=4,'LPDDR2-S4 Specs'!W94,'LPDDR2-S4 Specs'!AC94))))</f>
        <v>100</v>
      </c>
      <c r="F190" s="120">
        <f>IF('Device Config'!$B$40=1,'LPDDR2-S4 Specs'!F94,IF('Device Config'!$B$40=2,'LPDDR2-S4 Specs'!L94,IF('Device Config'!$B$40=3,'LPDDR2-S4 Specs'!R94,IF('Device Config'!$B$40=4,'LPDDR2-S4 Specs'!X94,'LPDDR2-S4 Specs'!AD94))))</f>
        <v>100</v>
      </c>
      <c r="G190" s="120">
        <f>IF('Device Config'!$B$40=1,'LPDDR2-S4 Specs'!G94,IF('Device Config'!$B$40=2,'LPDDR2-S4 Specs'!M94,IF('Device Config'!$B$40=3,'LPDDR2-S4 Specs'!S94,IF('Device Config'!$B$40=4,'LPDDR2-S4 Specs'!Y94,'LPDDR2-S4 Specs'!AE94))))</f>
        <v>100</v>
      </c>
      <c r="H190" s="120">
        <f>IF('Device Config'!$B$40=1,'LPDDR2-S4 Specs'!H94,IF('Device Config'!$B$40=2,'LPDDR2-S4 Specs'!N94,IF('Device Config'!$B$40=3,'LPDDR2-S4 Specs'!T94,IF('Device Config'!$B$40=4,'LPDDR2-S4 Specs'!Z94,'LPDDR2-S4 Specs'!AF94))))</f>
        <v>100</v>
      </c>
      <c r="I190" s="120">
        <f>IF('Device Config'!$B$40=1,'LPDDR2-S4 Specs'!I94,IF('Device Config'!$B$40=2,'LPDDR2-S4 Specs'!O94,IF('Device Config'!$B$40=3,'LPDDR2-S4 Specs'!U94,IF('Device Config'!$B$40=4,'LPDDR2-S4 Specs'!AA94,'LPDDR2-S4 Specs'!AG94))))</f>
        <v>100</v>
      </c>
      <c r="J190" s="120"/>
      <c r="K190" s="120"/>
      <c r="L190" s="120"/>
      <c r="M190" s="120"/>
      <c r="N190" s="120">
        <f>HLOOKUP($N$99,$E$99:$I$190,92)</f>
        <v>100</v>
      </c>
      <c r="O190" s="120"/>
      <c r="P190" s="120"/>
      <c r="Q190" s="139"/>
      <c r="R190" s="139"/>
      <c r="S190" s="139"/>
      <c r="T190" s="139"/>
      <c r="U190" s="139"/>
      <c r="AC190" s="105"/>
    </row>
    <row r="191" spans="2:29" ht="13.8" hidden="1" thickBot="1">
      <c r="B191" s="118"/>
      <c r="C191" s="119"/>
      <c r="D191" s="118"/>
      <c r="E191" s="120"/>
      <c r="F191" s="120"/>
      <c r="G191" s="120"/>
      <c r="H191" s="120"/>
      <c r="I191" s="120"/>
      <c r="J191" s="120"/>
      <c r="K191" s="120"/>
      <c r="L191" s="120"/>
      <c r="M191" s="120"/>
      <c r="N191" s="120"/>
      <c r="O191" s="120"/>
      <c r="P191" s="120"/>
      <c r="Q191" s="139"/>
      <c r="R191" s="139"/>
      <c r="S191" s="139"/>
      <c r="T191" s="139"/>
      <c r="U191" s="139"/>
      <c r="AC191" s="105"/>
    </row>
    <row r="192" spans="2:29" hidden="1">
      <c r="B192" s="121" t="s">
        <v>28</v>
      </c>
      <c r="C192" s="122" t="s">
        <v>29</v>
      </c>
      <c r="D192" s="118"/>
      <c r="E192" s="120"/>
      <c r="F192" s="120"/>
      <c r="G192" s="120"/>
      <c r="H192" s="120"/>
      <c r="I192" s="120"/>
      <c r="J192" s="120"/>
      <c r="K192" s="120"/>
      <c r="L192" s="120"/>
      <c r="M192" s="120"/>
      <c r="N192" s="120"/>
      <c r="O192" s="120"/>
      <c r="P192" s="120"/>
      <c r="Q192" s="139"/>
      <c r="R192" s="139"/>
      <c r="S192" s="139"/>
      <c r="T192" s="139"/>
      <c r="U192" s="139"/>
      <c r="AC192" s="105"/>
    </row>
    <row r="193" spans="2:29" hidden="1">
      <c r="B193" s="174" t="s">
        <v>201</v>
      </c>
      <c r="C193" s="124" t="s">
        <v>209</v>
      </c>
      <c r="D193" s="118"/>
      <c r="E193" s="120"/>
      <c r="F193" s="120"/>
      <c r="G193" s="120"/>
      <c r="H193" s="120">
        <f t="shared" ref="H193:H198" si="0">N100</f>
        <v>1.95</v>
      </c>
      <c r="I193" s="120"/>
      <c r="J193" s="120"/>
      <c r="K193" s="120"/>
      <c r="L193" s="120"/>
      <c r="M193" s="120"/>
      <c r="N193" s="120"/>
      <c r="O193" s="120"/>
      <c r="P193" s="120"/>
      <c r="Q193" s="139"/>
      <c r="R193" s="139"/>
      <c r="S193" s="139"/>
      <c r="T193" s="139"/>
      <c r="U193" s="139"/>
      <c r="AC193" s="105"/>
    </row>
    <row r="194" spans="2:29" hidden="1">
      <c r="B194" s="175"/>
      <c r="C194" s="124" t="s">
        <v>208</v>
      </c>
      <c r="D194" s="118"/>
      <c r="E194" s="120"/>
      <c r="F194" s="120"/>
      <c r="G194" s="120"/>
      <c r="H194" s="120">
        <f t="shared" si="0"/>
        <v>1.7</v>
      </c>
      <c r="I194" s="120"/>
      <c r="J194" s="120"/>
      <c r="K194" s="120"/>
      <c r="L194" s="120"/>
      <c r="M194" s="120"/>
      <c r="N194" s="120"/>
      <c r="O194" s="120"/>
      <c r="P194" s="120"/>
      <c r="Q194" s="139"/>
      <c r="R194" s="139"/>
      <c r="S194" s="139"/>
      <c r="T194" s="139"/>
      <c r="U194" s="139"/>
      <c r="AC194" s="105"/>
    </row>
    <row r="195" spans="2:29" hidden="1">
      <c r="B195" s="174" t="s">
        <v>202</v>
      </c>
      <c r="C195" s="124" t="s">
        <v>207</v>
      </c>
      <c r="D195" s="118"/>
      <c r="E195" s="120"/>
      <c r="F195" s="120"/>
      <c r="G195" s="120"/>
      <c r="H195" s="120">
        <f t="shared" si="0"/>
        <v>1.3</v>
      </c>
      <c r="I195" s="120"/>
      <c r="J195" s="120"/>
      <c r="K195" s="120"/>
      <c r="L195" s="120"/>
      <c r="M195" s="120"/>
      <c r="N195" s="120"/>
      <c r="O195" s="120"/>
      <c r="P195" s="120"/>
      <c r="Q195" s="139"/>
      <c r="R195" s="139"/>
      <c r="S195" s="139"/>
      <c r="T195" s="139"/>
      <c r="U195" s="139"/>
      <c r="AC195" s="105"/>
    </row>
    <row r="196" spans="2:29" hidden="1">
      <c r="B196" s="175"/>
      <c r="C196" s="124" t="s">
        <v>206</v>
      </c>
      <c r="D196" s="118"/>
      <c r="E196" s="120"/>
      <c r="F196" s="120"/>
      <c r="G196" s="120"/>
      <c r="H196" s="120">
        <f t="shared" si="0"/>
        <v>1.1399999999999999</v>
      </c>
      <c r="I196" s="120"/>
      <c r="J196" s="120"/>
      <c r="K196" s="120"/>
      <c r="L196" s="120"/>
      <c r="M196" s="120"/>
      <c r="N196" s="120"/>
      <c r="O196" s="120"/>
      <c r="P196" s="120"/>
      <c r="Q196" s="139"/>
      <c r="R196" s="139"/>
      <c r="S196" s="139"/>
      <c r="T196" s="139"/>
      <c r="U196" s="139"/>
      <c r="AC196" s="105"/>
    </row>
    <row r="197" spans="2:29" hidden="1">
      <c r="B197" s="174" t="s">
        <v>264</v>
      </c>
      <c r="C197" s="124" t="s">
        <v>262</v>
      </c>
      <c r="D197" s="118"/>
      <c r="E197" s="120"/>
      <c r="F197" s="120"/>
      <c r="G197" s="120"/>
      <c r="H197" s="120">
        <f t="shared" si="0"/>
        <v>1.3</v>
      </c>
      <c r="I197" s="120"/>
      <c r="J197" s="120"/>
      <c r="K197" s="120"/>
      <c r="L197" s="120"/>
      <c r="M197" s="120"/>
      <c r="N197" s="120"/>
      <c r="O197" s="120"/>
      <c r="P197" s="120"/>
      <c r="Q197" s="139"/>
      <c r="R197" s="139"/>
      <c r="S197" s="139"/>
      <c r="T197" s="139"/>
      <c r="U197" s="139"/>
      <c r="AC197" s="105"/>
    </row>
    <row r="198" spans="2:29" hidden="1">
      <c r="B198" s="175"/>
      <c r="C198" s="124" t="s">
        <v>263</v>
      </c>
      <c r="D198" s="118"/>
      <c r="E198" s="120"/>
      <c r="F198" s="120"/>
      <c r="G198" s="120"/>
      <c r="H198" s="120">
        <f t="shared" si="0"/>
        <v>1.1399999999999999</v>
      </c>
      <c r="I198" s="120"/>
      <c r="J198" s="120"/>
      <c r="K198" s="120"/>
      <c r="L198" s="120"/>
      <c r="M198" s="120"/>
      <c r="N198" s="120"/>
      <c r="O198" s="120"/>
      <c r="P198" s="120"/>
      <c r="Q198" s="139"/>
      <c r="R198" s="139"/>
      <c r="S198" s="139"/>
      <c r="T198" s="139"/>
      <c r="U198" s="139"/>
      <c r="AC198" s="105"/>
    </row>
    <row r="199" spans="2:29" hidden="1">
      <c r="B199" s="123"/>
      <c r="C199" s="124"/>
      <c r="D199" s="118"/>
      <c r="E199" s="120"/>
      <c r="F199" s="120"/>
      <c r="G199" s="120"/>
      <c r="H199" s="120"/>
      <c r="I199" s="120"/>
      <c r="J199" s="120"/>
      <c r="K199" s="120"/>
      <c r="L199" s="120"/>
      <c r="M199" s="120"/>
      <c r="N199" s="120"/>
      <c r="O199" s="120"/>
      <c r="P199" s="120"/>
      <c r="Q199" s="139"/>
      <c r="R199" s="139"/>
      <c r="S199" s="139"/>
      <c r="T199" s="139"/>
      <c r="U199" s="139"/>
      <c r="AC199" s="105"/>
    </row>
    <row r="200" spans="2:29" hidden="1">
      <c r="B200" s="123" t="s">
        <v>265</v>
      </c>
      <c r="C200" s="124" t="s">
        <v>184</v>
      </c>
      <c r="D200" s="118"/>
      <c r="E200" s="120"/>
      <c r="F200" s="120"/>
      <c r="G200" s="120"/>
      <c r="H200" s="120">
        <f>IF('Device Config'!E40=3,'LPDDR2-S4 Specs'!N108,'LPDDR2-S4 Specs'!N107)</f>
        <v>15</v>
      </c>
      <c r="I200" s="120"/>
      <c r="J200" s="120"/>
      <c r="K200" s="120"/>
      <c r="L200" s="120"/>
      <c r="M200" s="120"/>
      <c r="N200" s="120"/>
      <c r="O200" s="120"/>
      <c r="P200" s="120"/>
      <c r="Q200" s="139"/>
      <c r="R200" s="139"/>
      <c r="S200" s="139"/>
      <c r="T200" s="139"/>
      <c r="U200" s="139"/>
      <c r="AC200" s="105"/>
    </row>
    <row r="201" spans="2:29" hidden="1">
      <c r="B201" s="123" t="s">
        <v>266</v>
      </c>
      <c r="C201" s="124" t="s">
        <v>55</v>
      </c>
      <c r="D201" s="118"/>
      <c r="E201" s="120"/>
      <c r="F201" s="120"/>
      <c r="G201" s="120"/>
      <c r="H201" s="120">
        <f>IF('Device Config'!E40=3,'LPDDR2-S4 Specs'!N110,'LPDDR2-S4 Specs'!N109)</f>
        <v>0.6</v>
      </c>
      <c r="I201" s="120"/>
      <c r="J201" s="120"/>
      <c r="K201" s="120"/>
      <c r="L201" s="120"/>
      <c r="M201" s="120"/>
      <c r="N201" s="120"/>
      <c r="O201" s="120"/>
      <c r="P201" s="120"/>
      <c r="Q201" s="139"/>
      <c r="R201" s="139"/>
      <c r="S201" s="139"/>
      <c r="T201" s="139"/>
      <c r="U201" s="139"/>
      <c r="AC201" s="105"/>
    </row>
    <row r="202" spans="2:29" hidden="1">
      <c r="B202" s="123" t="s">
        <v>267</v>
      </c>
      <c r="C202" s="124" t="s">
        <v>55</v>
      </c>
      <c r="D202" s="118"/>
      <c r="E202" s="120"/>
      <c r="F202" s="120"/>
      <c r="G202" s="120"/>
      <c r="H202" s="120">
        <f>IF('Device Config'!E40=3,'LPDDR2-S4 Specs'!N112,'LPDDR2-S4 Specs'!N111)</f>
        <v>0.6</v>
      </c>
      <c r="I202" s="120"/>
      <c r="J202" s="120"/>
      <c r="K202" s="120"/>
      <c r="L202" s="120"/>
      <c r="M202" s="120"/>
      <c r="N202" s="120"/>
      <c r="O202" s="120"/>
      <c r="P202" s="120"/>
      <c r="Q202" s="139"/>
      <c r="R202" s="139"/>
      <c r="S202" s="139"/>
      <c r="T202" s="139"/>
      <c r="U202" s="139"/>
      <c r="AC202" s="105"/>
    </row>
    <row r="203" spans="2:29" hidden="1">
      <c r="B203" s="123" t="s">
        <v>268</v>
      </c>
      <c r="C203" s="124" t="s">
        <v>56</v>
      </c>
      <c r="D203" s="118"/>
      <c r="E203" s="120"/>
      <c r="F203" s="120"/>
      <c r="G203" s="120"/>
      <c r="H203" s="120">
        <f>IF('Device Config'!E40=3,'LPDDR2-S4 Specs'!N114,'LPDDR2-S4 Specs'!N113)</f>
        <v>2</v>
      </c>
      <c r="I203" s="120"/>
      <c r="J203" s="120"/>
      <c r="K203" s="120"/>
      <c r="L203" s="120"/>
      <c r="M203" s="120"/>
      <c r="N203" s="120"/>
      <c r="O203" s="120"/>
      <c r="P203" s="120"/>
      <c r="Q203" s="139"/>
      <c r="R203" s="139"/>
      <c r="S203" s="139"/>
      <c r="T203" s="139"/>
      <c r="U203" s="139"/>
      <c r="AC203" s="105"/>
    </row>
    <row r="204" spans="2:29" hidden="1">
      <c r="B204" s="123" t="s">
        <v>269</v>
      </c>
      <c r="C204" s="124" t="s">
        <v>57</v>
      </c>
      <c r="D204" s="118"/>
      <c r="E204" s="120"/>
      <c r="F204" s="120"/>
      <c r="G204" s="120"/>
      <c r="H204" s="120">
        <f>IF('Device Config'!E40=3,'LPDDR2-S4 Specs'!N116,'LPDDR2-S4 Specs'!N115)</f>
        <v>1.2</v>
      </c>
      <c r="I204" s="120"/>
      <c r="J204" s="120"/>
      <c r="K204" s="120"/>
      <c r="L204" s="120"/>
      <c r="M204" s="120"/>
      <c r="N204" s="120"/>
      <c r="O204" s="120"/>
      <c r="P204" s="120"/>
      <c r="Q204" s="139"/>
      <c r="R204" s="139"/>
      <c r="S204" s="139"/>
      <c r="T204" s="139"/>
      <c r="U204" s="139"/>
      <c r="AC204" s="105"/>
    </row>
    <row r="205" spans="2:29" hidden="1">
      <c r="B205" s="123" t="s">
        <v>270</v>
      </c>
      <c r="C205" s="124" t="s">
        <v>57</v>
      </c>
      <c r="D205" s="118"/>
      <c r="E205" s="120"/>
      <c r="F205" s="120"/>
      <c r="G205" s="120"/>
      <c r="H205" s="120">
        <f>IF('Device Config'!E40=3,'LPDDR2-S4 Specs'!N118,'LPDDR2-S4 Specs'!N117)</f>
        <v>1.2</v>
      </c>
      <c r="I205" s="120"/>
      <c r="J205" s="120"/>
      <c r="K205" s="120"/>
      <c r="L205" s="120"/>
      <c r="M205" s="120"/>
      <c r="N205" s="120"/>
      <c r="O205" s="120"/>
      <c r="P205" s="120"/>
      <c r="Q205" s="139"/>
      <c r="R205" s="139"/>
      <c r="S205" s="139"/>
      <c r="T205" s="139"/>
      <c r="U205" s="139"/>
      <c r="AC205" s="105"/>
    </row>
    <row r="206" spans="2:29" hidden="1">
      <c r="B206" s="123" t="s">
        <v>271</v>
      </c>
      <c r="C206" s="124" t="s">
        <v>58</v>
      </c>
      <c r="D206" s="118"/>
      <c r="E206" s="120"/>
      <c r="F206" s="120"/>
      <c r="G206" s="120"/>
      <c r="H206" s="120">
        <f>IF('Device Config'!E40=3,'LPDDR2-S4 Specs'!N120,'LPDDR2-S4 Specs'!N119)</f>
        <v>2.5</v>
      </c>
      <c r="I206" s="120"/>
      <c r="J206" s="120"/>
      <c r="K206" s="120"/>
      <c r="L206" s="120"/>
      <c r="M206" s="120"/>
      <c r="N206" s="120"/>
      <c r="O206" s="120"/>
      <c r="P206" s="120"/>
      <c r="Q206" s="139"/>
      <c r="R206" s="139"/>
      <c r="S206" s="139"/>
      <c r="T206" s="139"/>
      <c r="U206" s="139"/>
      <c r="AC206" s="105"/>
    </row>
    <row r="207" spans="2:29" hidden="1">
      <c r="B207" s="123" t="s">
        <v>272</v>
      </c>
      <c r="C207" s="124" t="s">
        <v>59</v>
      </c>
      <c r="D207" s="118"/>
      <c r="E207" s="120"/>
      <c r="F207" s="120"/>
      <c r="G207" s="120"/>
      <c r="H207" s="120">
        <f>IF('Device Config'!E40=3,'LPDDR2-S4 Specs'!N122,'LPDDR2-S4 Specs'!N121)</f>
        <v>3</v>
      </c>
      <c r="I207" s="120"/>
      <c r="J207" s="120"/>
      <c r="K207" s="120"/>
      <c r="L207" s="120"/>
      <c r="M207" s="120"/>
      <c r="N207" s="120"/>
      <c r="O207" s="120"/>
      <c r="P207" s="120"/>
      <c r="Q207" s="139"/>
      <c r="R207" s="139"/>
      <c r="S207" s="139"/>
      <c r="T207" s="139"/>
      <c r="U207" s="139"/>
      <c r="AC207" s="105"/>
    </row>
    <row r="208" spans="2:29" hidden="1">
      <c r="B208" s="123" t="s">
        <v>273</v>
      </c>
      <c r="C208" s="124" t="s">
        <v>60</v>
      </c>
      <c r="D208" s="118"/>
      <c r="E208" s="120"/>
      <c r="F208" s="120"/>
      <c r="G208" s="120"/>
      <c r="H208" s="120">
        <f>IF('Device Config'!E40=3,'LPDDR2-S4 Specs'!N124,'LPDDR2-S4 Specs'!N123)</f>
        <v>10</v>
      </c>
      <c r="I208" s="120"/>
      <c r="J208" s="120"/>
      <c r="K208" s="120"/>
      <c r="L208" s="120"/>
      <c r="M208" s="120"/>
      <c r="N208" s="120"/>
      <c r="O208" s="120"/>
      <c r="P208" s="120"/>
      <c r="Q208" s="139"/>
      <c r="R208" s="139"/>
      <c r="S208" s="139"/>
      <c r="T208" s="139"/>
      <c r="U208" s="139"/>
      <c r="AC208" s="105"/>
    </row>
    <row r="209" spans="2:29" hidden="1">
      <c r="B209" s="123" t="s">
        <v>217</v>
      </c>
      <c r="C209" s="124" t="s">
        <v>141</v>
      </c>
      <c r="D209" s="118"/>
      <c r="E209" s="120"/>
      <c r="F209" s="120"/>
      <c r="G209" s="120"/>
      <c r="H209" s="120">
        <f>IF('Device Config'!E40=3,'LPDDR2-S4 Specs'!N126,'LPDDR2-S4 Specs'!N125)</f>
        <v>40</v>
      </c>
      <c r="I209" s="120"/>
      <c r="J209" s="120"/>
      <c r="K209" s="120"/>
      <c r="L209" s="120"/>
      <c r="M209" s="120"/>
      <c r="N209" s="120"/>
      <c r="O209" s="120"/>
      <c r="P209" s="120"/>
      <c r="Q209" s="139"/>
      <c r="R209" s="139"/>
      <c r="S209" s="139"/>
      <c r="T209" s="139"/>
      <c r="U209" s="139"/>
      <c r="AC209" s="105"/>
    </row>
    <row r="210" spans="2:29" hidden="1">
      <c r="B210" s="123" t="s">
        <v>246</v>
      </c>
      <c r="C210" s="124" t="s">
        <v>85</v>
      </c>
      <c r="D210" s="118"/>
      <c r="E210" s="120"/>
      <c r="F210" s="120"/>
      <c r="G210" s="120"/>
      <c r="H210" s="120">
        <f>IF('Device Config'!E40=3,'LPDDR2-S4 Specs'!N128,'LPDDR2-S4 Specs'!N127)</f>
        <v>1</v>
      </c>
      <c r="I210" s="120"/>
      <c r="J210" s="120"/>
      <c r="K210" s="120"/>
      <c r="L210" s="120"/>
      <c r="M210" s="120"/>
      <c r="N210" s="120"/>
      <c r="O210" s="120"/>
      <c r="P210" s="120"/>
      <c r="Q210" s="139"/>
      <c r="R210" s="139"/>
      <c r="S210" s="139"/>
      <c r="T210" s="139"/>
      <c r="U210" s="139"/>
      <c r="AC210" s="105"/>
    </row>
    <row r="211" spans="2:29" hidden="1">
      <c r="B211" s="123" t="s">
        <v>247</v>
      </c>
      <c r="C211" s="124" t="s">
        <v>87</v>
      </c>
      <c r="D211" s="118"/>
      <c r="E211" s="120"/>
      <c r="F211" s="120"/>
      <c r="G211" s="120"/>
      <c r="H211" s="120">
        <f>IF('Device Config'!E40=3,'LPDDR2-S4 Specs'!N130,'LPDDR2-S4 Specs'!N129)</f>
        <v>2.5000000000000001E-2</v>
      </c>
      <c r="I211" s="120"/>
      <c r="J211" s="120"/>
      <c r="K211" s="120"/>
      <c r="L211" s="120"/>
      <c r="M211" s="120"/>
      <c r="N211" s="120"/>
      <c r="O211" s="120"/>
      <c r="P211" s="120"/>
      <c r="Q211" s="139"/>
      <c r="R211" s="139"/>
      <c r="S211" s="139"/>
      <c r="T211" s="139"/>
      <c r="U211" s="139"/>
      <c r="AC211" s="105"/>
    </row>
    <row r="212" spans="2:29" hidden="1">
      <c r="B212" s="123"/>
      <c r="C212" s="124"/>
      <c r="D212" s="118"/>
      <c r="E212" s="120"/>
      <c r="F212" s="120"/>
      <c r="G212" s="120"/>
      <c r="H212" s="120"/>
      <c r="I212" s="120"/>
      <c r="J212" s="120"/>
      <c r="K212" s="120"/>
      <c r="L212" s="120"/>
      <c r="M212" s="120"/>
      <c r="N212" s="120"/>
      <c r="O212" s="120"/>
      <c r="P212" s="120"/>
      <c r="Q212" s="139"/>
      <c r="R212" s="139"/>
      <c r="S212" s="139"/>
      <c r="T212" s="139"/>
      <c r="U212" s="139"/>
      <c r="AC212" s="105"/>
    </row>
    <row r="213" spans="2:29" hidden="1">
      <c r="B213" s="123" t="s">
        <v>274</v>
      </c>
      <c r="C213" s="124" t="s">
        <v>184</v>
      </c>
      <c r="D213" s="118"/>
      <c r="E213" s="120"/>
      <c r="F213" s="120"/>
      <c r="G213" s="120"/>
      <c r="H213" s="120">
        <f>IF('Device Config'!E40=3,'LPDDR2-S4 Specs'!N133,'LPDDR2-S4 Specs'!N132)</f>
        <v>70</v>
      </c>
      <c r="I213" s="120"/>
      <c r="J213" s="120"/>
      <c r="K213" s="120"/>
      <c r="L213" s="120"/>
      <c r="M213" s="120"/>
      <c r="N213" s="120"/>
      <c r="O213" s="120"/>
      <c r="P213" s="120"/>
      <c r="Q213" s="139"/>
      <c r="R213" s="139"/>
      <c r="S213" s="139"/>
      <c r="T213" s="139"/>
      <c r="U213" s="139"/>
      <c r="AC213" s="105"/>
    </row>
    <row r="214" spans="2:29" hidden="1">
      <c r="B214" s="123" t="s">
        <v>275</v>
      </c>
      <c r="C214" s="124" t="s">
        <v>55</v>
      </c>
      <c r="D214" s="118"/>
      <c r="E214" s="120"/>
      <c r="F214" s="120"/>
      <c r="G214" s="120"/>
      <c r="H214" s="120">
        <f>IF('Device Config'!E40=3,'LPDDR2-S4 Specs'!N135,'LPDDR2-S4 Specs'!N134)</f>
        <v>0.8</v>
      </c>
      <c r="I214" s="120"/>
      <c r="J214" s="120"/>
      <c r="K214" s="120"/>
      <c r="L214" s="120"/>
      <c r="M214" s="120"/>
      <c r="N214" s="120"/>
      <c r="O214" s="120"/>
      <c r="P214" s="120"/>
      <c r="Q214" s="139"/>
      <c r="R214" s="139"/>
      <c r="S214" s="139"/>
      <c r="T214" s="139"/>
      <c r="U214" s="139"/>
      <c r="AC214" s="105"/>
    </row>
    <row r="215" spans="2:29" hidden="1">
      <c r="B215" s="123" t="s">
        <v>276</v>
      </c>
      <c r="C215" s="124" t="s">
        <v>55</v>
      </c>
      <c r="D215" s="118"/>
      <c r="E215" s="120"/>
      <c r="F215" s="120"/>
      <c r="G215" s="120"/>
      <c r="H215" s="120">
        <f>IF('Device Config'!E40=3,'LPDDR2-S4 Specs'!N137,'LPDDR2-S4 Specs'!N136)</f>
        <v>0.8</v>
      </c>
      <c r="I215" s="120"/>
      <c r="J215" s="120"/>
      <c r="K215" s="120"/>
      <c r="L215" s="120"/>
      <c r="M215" s="120"/>
      <c r="N215" s="120"/>
      <c r="O215" s="120"/>
      <c r="P215" s="120"/>
      <c r="Q215" s="139"/>
      <c r="R215" s="139"/>
      <c r="S215" s="139"/>
      <c r="T215" s="139"/>
      <c r="U215" s="139"/>
      <c r="AC215" s="105"/>
    </row>
    <row r="216" spans="2:29" hidden="1">
      <c r="B216" s="123" t="s">
        <v>277</v>
      </c>
      <c r="C216" s="124" t="s">
        <v>56</v>
      </c>
      <c r="D216" s="118"/>
      <c r="E216" s="120"/>
      <c r="F216" s="120"/>
      <c r="G216" s="120"/>
      <c r="H216" s="120">
        <f>IF('Device Config'!E40=3,'LPDDR2-S4 Specs'!N139,'LPDDR2-S4 Specs'!N138)</f>
        <v>30</v>
      </c>
      <c r="I216" s="120"/>
      <c r="J216" s="120"/>
      <c r="K216" s="120"/>
      <c r="L216" s="120"/>
      <c r="M216" s="120"/>
      <c r="N216" s="120"/>
      <c r="O216" s="120"/>
      <c r="P216" s="120"/>
      <c r="Q216" s="139"/>
      <c r="R216" s="139"/>
      <c r="S216" s="139"/>
      <c r="T216" s="139"/>
      <c r="U216" s="139"/>
      <c r="AC216" s="105"/>
    </row>
    <row r="217" spans="2:29" hidden="1">
      <c r="B217" s="123" t="s">
        <v>278</v>
      </c>
      <c r="C217" s="124" t="s">
        <v>57</v>
      </c>
      <c r="D217" s="118"/>
      <c r="E217" s="120"/>
      <c r="F217" s="120"/>
      <c r="G217" s="120"/>
      <c r="H217" s="120">
        <f>IF('Device Config'!E40=3,'LPDDR2-S4 Specs'!N141,'LPDDR2-S4 Specs'!N140)</f>
        <v>8</v>
      </c>
      <c r="I217" s="120"/>
      <c r="J217" s="120"/>
      <c r="K217" s="120"/>
      <c r="L217" s="120"/>
      <c r="M217" s="120"/>
      <c r="N217" s="120"/>
      <c r="O217" s="120"/>
      <c r="P217" s="120"/>
      <c r="Q217" s="139"/>
      <c r="R217" s="139"/>
      <c r="S217" s="139"/>
      <c r="T217" s="139"/>
      <c r="U217" s="139"/>
      <c r="AC217" s="105"/>
    </row>
    <row r="218" spans="2:29" hidden="1">
      <c r="B218" s="123" t="s">
        <v>279</v>
      </c>
      <c r="C218" s="124" t="s">
        <v>57</v>
      </c>
      <c r="D218" s="118"/>
      <c r="E218" s="120"/>
      <c r="F218" s="120"/>
      <c r="G218" s="120"/>
      <c r="H218" s="120">
        <f>IF('Device Config'!E40=3,'LPDDR2-S4 Specs'!N143,'LPDDR2-S4 Specs'!N142)</f>
        <v>8</v>
      </c>
      <c r="I218" s="120"/>
      <c r="J218" s="120"/>
      <c r="K218" s="120"/>
      <c r="L218" s="120"/>
      <c r="M218" s="120"/>
      <c r="N218" s="120"/>
      <c r="O218" s="120"/>
      <c r="P218" s="120"/>
      <c r="Q218" s="139"/>
      <c r="R218" s="139"/>
      <c r="S218" s="139"/>
      <c r="T218" s="139"/>
      <c r="U218" s="139"/>
      <c r="AC218" s="105"/>
    </row>
    <row r="219" spans="2:29" hidden="1">
      <c r="B219" s="123" t="s">
        <v>280</v>
      </c>
      <c r="C219" s="124" t="s">
        <v>58</v>
      </c>
      <c r="D219" s="118"/>
      <c r="E219" s="120"/>
      <c r="F219" s="120"/>
      <c r="G219" s="120"/>
      <c r="H219" s="120">
        <f>IF('Device Config'!E40=3,'LPDDR2-S4 Specs'!N145,'LPDDR2-S4 Specs'!N144)</f>
        <v>30</v>
      </c>
      <c r="I219" s="120"/>
      <c r="J219" s="120"/>
      <c r="K219" s="120"/>
      <c r="L219" s="120"/>
      <c r="M219" s="120"/>
      <c r="N219" s="120"/>
      <c r="O219" s="120"/>
      <c r="P219" s="120"/>
      <c r="Q219" s="139"/>
      <c r="R219" s="139"/>
      <c r="S219" s="139"/>
      <c r="T219" s="139"/>
      <c r="U219" s="139"/>
      <c r="AC219" s="105"/>
    </row>
    <row r="220" spans="2:29" hidden="1">
      <c r="B220" s="123" t="s">
        <v>281</v>
      </c>
      <c r="C220" s="124" t="s">
        <v>59</v>
      </c>
      <c r="D220" s="118"/>
      <c r="E220" s="120"/>
      <c r="F220" s="120"/>
      <c r="G220" s="120"/>
      <c r="H220" s="120">
        <f>IF('Device Config'!E40=3,'LPDDR2-S4 Specs'!N147,'LPDDR2-S4 Specs'!N146)</f>
        <v>220</v>
      </c>
      <c r="I220" s="120"/>
      <c r="J220" s="120"/>
      <c r="K220" s="120"/>
      <c r="L220" s="120"/>
      <c r="M220" s="120"/>
      <c r="N220" s="120"/>
      <c r="O220" s="120"/>
      <c r="P220" s="120"/>
      <c r="Q220" s="139"/>
      <c r="R220" s="139"/>
      <c r="S220" s="139"/>
      <c r="T220" s="139"/>
      <c r="U220" s="139"/>
      <c r="AC220" s="105"/>
    </row>
    <row r="221" spans="2:29" hidden="1">
      <c r="B221" s="123" t="s">
        <v>282</v>
      </c>
      <c r="C221" s="124" t="s">
        <v>60</v>
      </c>
      <c r="D221" s="118"/>
      <c r="E221" s="120"/>
      <c r="F221" s="120"/>
      <c r="G221" s="120"/>
      <c r="H221" s="120">
        <f>IF('Device Config'!E40=3,'LPDDR2-S4 Specs'!N149,'LPDDR2-S4 Specs'!N148)</f>
        <v>190</v>
      </c>
      <c r="I221" s="120"/>
      <c r="J221" s="120"/>
      <c r="K221" s="120"/>
      <c r="L221" s="120"/>
      <c r="M221" s="120"/>
      <c r="N221" s="120"/>
      <c r="O221" s="120"/>
      <c r="P221" s="120"/>
      <c r="Q221" s="139"/>
      <c r="R221" s="139"/>
      <c r="S221" s="139"/>
      <c r="T221" s="139"/>
      <c r="U221" s="139"/>
      <c r="AC221" s="105"/>
    </row>
    <row r="222" spans="2:29" hidden="1">
      <c r="B222" s="123" t="s">
        <v>226</v>
      </c>
      <c r="C222" s="124" t="s">
        <v>141</v>
      </c>
      <c r="D222" s="118"/>
      <c r="E222" s="120"/>
      <c r="F222" s="120"/>
      <c r="G222" s="120"/>
      <c r="H222" s="120">
        <f>IF('Device Config'!E40=3,'LPDDR2-S4 Specs'!N151,'LPDDR2-S4 Specs'!N150)</f>
        <v>150</v>
      </c>
      <c r="I222" s="120"/>
      <c r="J222" s="120"/>
      <c r="K222" s="120"/>
      <c r="L222" s="120"/>
      <c r="M222" s="120"/>
      <c r="N222" s="120"/>
      <c r="O222" s="120"/>
      <c r="P222" s="120"/>
      <c r="Q222" s="139"/>
      <c r="R222" s="139"/>
      <c r="S222" s="139"/>
      <c r="T222" s="139"/>
      <c r="U222" s="139"/>
      <c r="AC222" s="105"/>
    </row>
    <row r="223" spans="2:29" hidden="1">
      <c r="B223" s="123" t="s">
        <v>249</v>
      </c>
      <c r="C223" s="124" t="s">
        <v>85</v>
      </c>
      <c r="D223" s="118"/>
      <c r="E223" s="120"/>
      <c r="F223" s="120"/>
      <c r="G223" s="120"/>
      <c r="H223" s="120">
        <f>IF('Device Config'!E40=3,'LPDDR2-S4 Specs'!N153,'LPDDR2-S4 Specs'!N152)</f>
        <v>3.2</v>
      </c>
      <c r="I223" s="120"/>
      <c r="J223" s="120"/>
      <c r="K223" s="120"/>
      <c r="L223" s="120"/>
      <c r="M223" s="120"/>
      <c r="N223" s="120"/>
      <c r="O223" s="120"/>
      <c r="P223" s="120"/>
      <c r="Q223" s="139"/>
      <c r="R223" s="139"/>
      <c r="S223" s="139"/>
      <c r="T223" s="139"/>
      <c r="U223" s="139"/>
      <c r="AC223" s="105"/>
    </row>
    <row r="224" spans="2:29" hidden="1">
      <c r="B224" s="123" t="s">
        <v>250</v>
      </c>
      <c r="C224" s="124" t="s">
        <v>87</v>
      </c>
      <c r="D224" s="118"/>
      <c r="E224" s="120"/>
      <c r="F224" s="120"/>
      <c r="G224" s="120"/>
      <c r="H224" s="120">
        <f>IF('Device Config'!E40=3,'LPDDR2-S4 Specs'!N155,'LPDDR2-S4 Specs'!N154)</f>
        <v>0.1</v>
      </c>
      <c r="I224" s="120"/>
      <c r="J224" s="120"/>
      <c r="K224" s="120"/>
      <c r="L224" s="120"/>
      <c r="M224" s="120"/>
      <c r="N224" s="120"/>
      <c r="O224" s="120"/>
      <c r="P224" s="120"/>
      <c r="Q224" s="139"/>
      <c r="R224" s="139"/>
      <c r="S224" s="139"/>
      <c r="T224" s="139"/>
      <c r="U224" s="139"/>
      <c r="AC224" s="105"/>
    </row>
    <row r="225" spans="2:29" hidden="1">
      <c r="B225" s="123"/>
      <c r="C225" s="124"/>
      <c r="D225" s="118"/>
      <c r="E225" s="120"/>
      <c r="F225" s="120"/>
      <c r="G225" s="120"/>
      <c r="H225" s="120"/>
      <c r="I225" s="120"/>
      <c r="J225" s="120"/>
      <c r="K225" s="120"/>
      <c r="L225" s="120"/>
      <c r="M225" s="120"/>
      <c r="N225" s="120"/>
      <c r="O225" s="120"/>
      <c r="P225" s="120"/>
      <c r="Q225" s="139"/>
      <c r="R225" s="139"/>
      <c r="S225" s="139"/>
      <c r="T225" s="139"/>
      <c r="U225" s="139"/>
      <c r="AC225" s="105"/>
    </row>
    <row r="226" spans="2:29" hidden="1">
      <c r="B226" s="123" t="s">
        <v>283</v>
      </c>
      <c r="C226" s="124" t="s">
        <v>184</v>
      </c>
      <c r="D226" s="118"/>
      <c r="E226" s="120"/>
      <c r="F226" s="120"/>
      <c r="G226" s="120"/>
      <c r="H226" s="120">
        <f>IF('Device Config'!E40=3,'LPDDR2-S4 Specs'!N158,'LPDDR2-S4 Specs'!N157)</f>
        <v>7</v>
      </c>
      <c r="I226" s="120"/>
      <c r="J226" s="120"/>
      <c r="K226" s="120"/>
      <c r="L226" s="120"/>
      <c r="M226" s="120"/>
      <c r="N226" s="120"/>
      <c r="O226" s="120"/>
      <c r="P226" s="120"/>
      <c r="Q226" s="139"/>
      <c r="R226" s="139"/>
      <c r="S226" s="139"/>
      <c r="T226" s="139"/>
      <c r="U226" s="139"/>
      <c r="AC226" s="105"/>
    </row>
    <row r="227" spans="2:29" hidden="1">
      <c r="B227" s="123" t="s">
        <v>284</v>
      </c>
      <c r="C227" s="124" t="s">
        <v>55</v>
      </c>
      <c r="D227" s="118"/>
      <c r="E227" s="120"/>
      <c r="F227" s="120"/>
      <c r="G227" s="120"/>
      <c r="H227" s="120">
        <f>IF('Device Config'!E40=3,'LPDDR2-S4 Specs'!N160,'LPDDR2-S4 Specs'!N159)</f>
        <v>0.05</v>
      </c>
      <c r="I227" s="120"/>
      <c r="J227" s="120"/>
      <c r="K227" s="120"/>
      <c r="L227" s="120"/>
      <c r="M227" s="120"/>
      <c r="N227" s="120"/>
      <c r="O227" s="120"/>
      <c r="P227" s="120"/>
      <c r="Q227" s="139"/>
      <c r="R227" s="139"/>
      <c r="S227" s="139"/>
      <c r="T227" s="139"/>
      <c r="U227" s="139"/>
      <c r="AC227" s="105"/>
    </row>
    <row r="228" spans="2:29" hidden="1">
      <c r="B228" s="123" t="s">
        <v>285</v>
      </c>
      <c r="C228" s="124" t="s">
        <v>55</v>
      </c>
      <c r="D228" s="118"/>
      <c r="E228" s="120"/>
      <c r="F228" s="120"/>
      <c r="G228" s="120"/>
      <c r="H228" s="120">
        <f>IF('Device Config'!E40=3,'LPDDR2-S4 Specs'!N162,'LPDDR2-S4 Specs'!N161)</f>
        <v>0.05</v>
      </c>
      <c r="I228" s="120"/>
      <c r="J228" s="120"/>
      <c r="K228" s="120"/>
      <c r="L228" s="120"/>
      <c r="M228" s="120"/>
      <c r="N228" s="120"/>
      <c r="O228" s="120"/>
      <c r="P228" s="120"/>
      <c r="Q228" s="139"/>
      <c r="R228" s="139"/>
      <c r="S228" s="139"/>
      <c r="T228" s="139"/>
      <c r="U228" s="139"/>
      <c r="AC228" s="105"/>
    </row>
    <row r="229" spans="2:29" hidden="1">
      <c r="B229" s="123" t="s">
        <v>286</v>
      </c>
      <c r="C229" s="124" t="s">
        <v>56</v>
      </c>
      <c r="D229" s="118"/>
      <c r="E229" s="120"/>
      <c r="F229" s="120"/>
      <c r="G229" s="120"/>
      <c r="H229" s="120">
        <f>IF('Device Config'!E40=3,'LPDDR2-S4 Specs'!N164,'LPDDR2-S4 Specs'!N163)</f>
        <v>7</v>
      </c>
      <c r="I229" s="120"/>
      <c r="J229" s="120"/>
      <c r="K229" s="120"/>
      <c r="L229" s="120"/>
      <c r="M229" s="120"/>
      <c r="N229" s="120"/>
      <c r="O229" s="120"/>
      <c r="P229" s="120"/>
      <c r="Q229" s="139"/>
      <c r="R229" s="139"/>
      <c r="S229" s="139"/>
      <c r="T229" s="139"/>
      <c r="U229" s="139"/>
      <c r="AC229" s="105"/>
    </row>
    <row r="230" spans="2:29" hidden="1">
      <c r="B230" s="123" t="s">
        <v>287</v>
      </c>
      <c r="C230" s="124" t="s">
        <v>57</v>
      </c>
      <c r="D230" s="118"/>
      <c r="E230" s="120"/>
      <c r="F230" s="120"/>
      <c r="G230" s="120"/>
      <c r="H230" s="120">
        <f>IF('Device Config'!E40=3,'LPDDR2-S4 Specs'!N166,'LPDDR2-S4 Specs'!N165)</f>
        <v>0.15</v>
      </c>
      <c r="I230" s="120"/>
      <c r="J230" s="120"/>
      <c r="K230" s="120"/>
      <c r="L230" s="120"/>
      <c r="M230" s="120"/>
      <c r="N230" s="120"/>
      <c r="O230" s="120"/>
      <c r="P230" s="120"/>
      <c r="Q230" s="139"/>
      <c r="R230" s="139"/>
      <c r="S230" s="139"/>
      <c r="T230" s="139"/>
      <c r="U230" s="139"/>
      <c r="AC230" s="105"/>
    </row>
    <row r="231" spans="2:29" hidden="1">
      <c r="B231" s="123" t="s">
        <v>288</v>
      </c>
      <c r="C231" s="124" t="s">
        <v>57</v>
      </c>
      <c r="D231" s="118"/>
      <c r="E231" s="120"/>
      <c r="F231" s="120"/>
      <c r="G231" s="120"/>
      <c r="H231" s="120">
        <f>IF('Device Config'!E40=3,'LPDDR2-S4 Specs'!N168,'LPDDR2-S4 Specs'!N167)</f>
        <v>0.15</v>
      </c>
      <c r="I231" s="120"/>
      <c r="J231" s="120"/>
      <c r="K231" s="120"/>
      <c r="L231" s="120"/>
      <c r="M231" s="120"/>
      <c r="N231" s="120"/>
      <c r="O231" s="120"/>
      <c r="P231" s="120"/>
      <c r="Q231" s="139"/>
      <c r="R231" s="139"/>
      <c r="S231" s="139"/>
      <c r="T231" s="139"/>
      <c r="U231" s="139"/>
      <c r="AC231" s="105"/>
    </row>
    <row r="232" spans="2:29" hidden="1">
      <c r="B232" s="123" t="s">
        <v>289</v>
      </c>
      <c r="C232" s="124" t="s">
        <v>58</v>
      </c>
      <c r="D232" s="118"/>
      <c r="E232" s="120"/>
      <c r="F232" s="120"/>
      <c r="G232" s="120"/>
      <c r="H232" s="120">
        <f>IF('Device Config'!E40=3,'LPDDR2-S4 Specs'!N170,'LPDDR2-S4 Specs'!N169)</f>
        <v>7</v>
      </c>
      <c r="I232" s="120"/>
      <c r="J232" s="120"/>
      <c r="K232" s="120"/>
      <c r="L232" s="120"/>
      <c r="M232" s="120"/>
      <c r="N232" s="120"/>
      <c r="O232" s="120"/>
      <c r="P232" s="120"/>
      <c r="Q232" s="139"/>
      <c r="R232" s="139"/>
      <c r="S232" s="139"/>
      <c r="T232" s="139"/>
      <c r="U232" s="139"/>
      <c r="AC232" s="105"/>
    </row>
    <row r="233" spans="2:29" hidden="1">
      <c r="B233" s="123" t="s">
        <v>290</v>
      </c>
      <c r="C233" s="124" t="s">
        <v>59</v>
      </c>
      <c r="D233" s="118"/>
      <c r="E233" s="120"/>
      <c r="F233" s="120"/>
      <c r="G233" s="120"/>
      <c r="H233" s="120">
        <f>IF('Device Config'!E40=3,'LPDDR2-S4 Specs'!N172,'LPDDR2-S4 Specs'!N171)</f>
        <v>6</v>
      </c>
      <c r="I233" s="120"/>
      <c r="J233" s="120"/>
      <c r="K233" s="120"/>
      <c r="L233" s="120"/>
      <c r="M233" s="120"/>
      <c r="N233" s="120"/>
      <c r="O233" s="120"/>
      <c r="P233" s="120"/>
      <c r="Q233" s="139"/>
      <c r="R233" s="139"/>
      <c r="S233" s="139"/>
      <c r="T233" s="139"/>
      <c r="U233" s="139"/>
      <c r="AC233" s="105"/>
    </row>
    <row r="234" spans="2:29" hidden="1">
      <c r="B234" s="123" t="s">
        <v>291</v>
      </c>
      <c r="C234" s="124" t="s">
        <v>60</v>
      </c>
      <c r="D234" s="118"/>
      <c r="E234" s="120"/>
      <c r="F234" s="120"/>
      <c r="G234" s="120"/>
      <c r="H234" s="120">
        <f>IF('Device Config'!E40=3,'LPDDR2-S4 Specs'!N174,'LPDDR2-S4 Specs'!N173)</f>
        <v>25</v>
      </c>
      <c r="I234" s="120"/>
      <c r="J234" s="120"/>
      <c r="K234" s="120"/>
      <c r="L234" s="120"/>
      <c r="M234" s="120"/>
      <c r="N234" s="120"/>
      <c r="O234" s="120"/>
      <c r="P234" s="120"/>
      <c r="Q234" s="139"/>
      <c r="R234" s="139"/>
      <c r="S234" s="139"/>
      <c r="T234" s="139"/>
      <c r="U234" s="139"/>
      <c r="AC234" s="105"/>
    </row>
    <row r="235" spans="2:29" hidden="1">
      <c r="B235" s="123" t="s">
        <v>292</v>
      </c>
      <c r="C235" s="124" t="s">
        <v>141</v>
      </c>
      <c r="D235" s="118"/>
      <c r="E235" s="120"/>
      <c r="F235" s="120"/>
      <c r="G235" s="120"/>
      <c r="H235" s="120">
        <f>IF('Device Config'!E40=3,'LPDDR2-S4 Specs'!N176,'LPDDR2-S4 Specs'!N175)</f>
        <v>8</v>
      </c>
      <c r="I235" s="120"/>
      <c r="J235" s="120"/>
      <c r="K235" s="120"/>
      <c r="L235" s="120"/>
      <c r="M235" s="120"/>
      <c r="N235" s="120"/>
      <c r="O235" s="120"/>
      <c r="P235" s="120"/>
      <c r="Q235" s="139"/>
      <c r="R235" s="139"/>
      <c r="S235" s="139"/>
      <c r="T235" s="139"/>
      <c r="U235" s="139"/>
      <c r="AC235" s="105"/>
    </row>
    <row r="236" spans="2:29" hidden="1">
      <c r="B236" s="123" t="s">
        <v>293</v>
      </c>
      <c r="C236" s="124" t="s">
        <v>85</v>
      </c>
      <c r="D236" s="118"/>
      <c r="E236" s="120"/>
      <c r="F236" s="120"/>
      <c r="G236" s="120"/>
      <c r="H236" s="120">
        <f>IF('Device Config'!E40=3,'LPDDR2-S4 Specs'!N178,'LPDDR2-S4 Specs'!N177)</f>
        <v>0.05</v>
      </c>
      <c r="I236" s="120"/>
      <c r="J236" s="120"/>
      <c r="K236" s="120"/>
      <c r="L236" s="120"/>
      <c r="M236" s="120"/>
      <c r="N236" s="120"/>
      <c r="O236" s="120"/>
      <c r="P236" s="120"/>
      <c r="Q236" s="139"/>
      <c r="R236" s="139"/>
      <c r="S236" s="139"/>
      <c r="T236" s="139"/>
      <c r="U236" s="139"/>
      <c r="AC236" s="105"/>
    </row>
    <row r="237" spans="2:29" hidden="1">
      <c r="B237" s="123" t="s">
        <v>294</v>
      </c>
      <c r="C237" s="124" t="s">
        <v>87</v>
      </c>
      <c r="D237" s="118"/>
      <c r="E237" s="120"/>
      <c r="F237" s="120"/>
      <c r="G237" s="120"/>
      <c r="H237" s="120">
        <f>IF('Device Config'!E40=3,'LPDDR2-S4 Specs'!N180,'LPDDR2-S4 Specs'!N179)</f>
        <v>0.1</v>
      </c>
      <c r="I237" s="120"/>
      <c r="J237" s="120"/>
      <c r="K237" s="120"/>
      <c r="L237" s="120"/>
      <c r="M237" s="120"/>
      <c r="N237" s="120"/>
      <c r="O237" s="120"/>
      <c r="P237" s="120"/>
      <c r="Q237" s="139"/>
      <c r="R237" s="139"/>
      <c r="S237" s="139"/>
      <c r="T237" s="139"/>
      <c r="U237" s="139"/>
      <c r="AC237" s="105"/>
    </row>
    <row r="238" spans="2:29" hidden="1">
      <c r="B238" s="123"/>
      <c r="C238" s="124"/>
      <c r="D238" s="118"/>
      <c r="E238" s="120"/>
      <c r="F238" s="120"/>
      <c r="G238" s="120"/>
      <c r="H238" s="120"/>
      <c r="I238" s="120"/>
      <c r="J238" s="120"/>
      <c r="K238" s="120"/>
      <c r="L238" s="120"/>
      <c r="M238" s="120"/>
      <c r="N238" s="120"/>
      <c r="O238" s="120"/>
      <c r="P238" s="120"/>
      <c r="Q238" s="139"/>
      <c r="R238" s="139"/>
      <c r="S238" s="139"/>
      <c r="T238" s="139"/>
      <c r="U238" s="139"/>
      <c r="AC238" s="105"/>
    </row>
    <row r="239" spans="2:29" ht="15.6" hidden="1">
      <c r="B239" s="123"/>
      <c r="C239" s="125" t="s">
        <v>185</v>
      </c>
      <c r="D239" s="118"/>
      <c r="E239" s="120"/>
      <c r="F239" s="120"/>
      <c r="G239" s="120"/>
      <c r="H239" s="120">
        <f>N182</f>
        <v>1.875</v>
      </c>
      <c r="I239" s="120"/>
      <c r="J239" s="120"/>
      <c r="K239" s="120"/>
      <c r="L239" s="120"/>
      <c r="M239" s="120"/>
      <c r="N239" s="120"/>
      <c r="O239" s="120"/>
      <c r="P239" s="120"/>
      <c r="Q239" s="139"/>
      <c r="R239" s="139"/>
      <c r="S239" s="139"/>
      <c r="T239" s="139"/>
      <c r="U239" s="139"/>
      <c r="AC239" s="105"/>
    </row>
    <row r="240" spans="2:29" ht="15.6" hidden="1">
      <c r="B240" s="126" t="s">
        <v>186</v>
      </c>
      <c r="C240" s="124" t="s">
        <v>70</v>
      </c>
      <c r="D240" s="118"/>
      <c r="E240" s="120"/>
      <c r="F240" s="120"/>
      <c r="G240" s="120"/>
      <c r="H240" s="120">
        <f>IF('Device Config'!E40=3,'LPDDR2-S4 Specs'!N184,'LPDDR2-S4 Specs'!N183)</f>
        <v>10</v>
      </c>
      <c r="I240" s="120"/>
      <c r="J240" s="120"/>
      <c r="K240" s="120"/>
      <c r="L240" s="120"/>
      <c r="M240" s="120"/>
      <c r="N240" s="120"/>
      <c r="O240" s="120"/>
      <c r="P240" s="120"/>
      <c r="Q240" s="139"/>
      <c r="R240" s="139"/>
      <c r="S240" s="139"/>
      <c r="T240" s="139"/>
      <c r="U240" s="139"/>
      <c r="AC240" s="105"/>
    </row>
    <row r="241" spans="2:29" ht="15.6" hidden="1">
      <c r="B241" s="126" t="s">
        <v>187</v>
      </c>
      <c r="C241" s="124" t="s">
        <v>71</v>
      </c>
      <c r="D241" s="118"/>
      <c r="E241" s="120"/>
      <c r="F241" s="120"/>
      <c r="G241" s="120"/>
      <c r="H241" s="120">
        <f t="shared" ref="H241:H246" si="1">N185</f>
        <v>60</v>
      </c>
      <c r="I241" s="120"/>
      <c r="J241" s="120"/>
      <c r="K241" s="120"/>
      <c r="L241" s="120"/>
      <c r="M241" s="120"/>
      <c r="N241" s="120"/>
      <c r="O241" s="120"/>
      <c r="P241" s="120"/>
      <c r="Q241" s="139"/>
      <c r="R241" s="139"/>
      <c r="S241" s="139"/>
      <c r="T241" s="139"/>
      <c r="U241" s="139"/>
      <c r="AC241" s="105"/>
    </row>
    <row r="242" spans="2:29" ht="15.6" hidden="1">
      <c r="B242" s="126" t="s">
        <v>188</v>
      </c>
      <c r="C242" s="124" t="s">
        <v>189</v>
      </c>
      <c r="D242" s="118"/>
      <c r="E242" s="120"/>
      <c r="F242" s="120"/>
      <c r="G242" s="120"/>
      <c r="H242" s="120">
        <f t="shared" si="1"/>
        <v>42</v>
      </c>
      <c r="I242" s="120"/>
      <c r="J242" s="120"/>
      <c r="K242" s="120"/>
      <c r="L242" s="120"/>
      <c r="M242" s="120"/>
      <c r="N242" s="120"/>
      <c r="O242" s="120"/>
      <c r="P242" s="120"/>
      <c r="Q242" s="139"/>
      <c r="R242" s="139"/>
      <c r="S242" s="139"/>
      <c r="T242" s="139"/>
      <c r="U242" s="139"/>
      <c r="AC242" s="105"/>
    </row>
    <row r="243" spans="2:29" ht="15.6" hidden="1">
      <c r="B243" s="126" t="s">
        <v>190</v>
      </c>
      <c r="C243" s="124" t="s">
        <v>191</v>
      </c>
      <c r="D243" s="118"/>
      <c r="E243" s="120"/>
      <c r="F243" s="120"/>
      <c r="G243" s="120"/>
      <c r="H243" s="120">
        <f t="shared" si="1"/>
        <v>130</v>
      </c>
      <c r="I243" s="120"/>
      <c r="J243" s="120"/>
      <c r="K243" s="120"/>
      <c r="L243" s="120"/>
      <c r="M243" s="120"/>
      <c r="N243" s="120"/>
      <c r="O243" s="120"/>
      <c r="P243" s="120"/>
      <c r="Q243" s="139"/>
      <c r="R243" s="139"/>
      <c r="S243" s="139"/>
      <c r="T243" s="139"/>
      <c r="U243" s="139"/>
      <c r="AC243" s="105"/>
    </row>
    <row r="244" spans="2:29" ht="15.6" hidden="1">
      <c r="B244" s="126" t="s">
        <v>192</v>
      </c>
      <c r="C244" s="124" t="s">
        <v>171</v>
      </c>
      <c r="D244" s="118"/>
      <c r="E244" s="120"/>
      <c r="F244" s="120"/>
      <c r="G244" s="120"/>
      <c r="H244" s="120">
        <f t="shared" si="1"/>
        <v>3.9</v>
      </c>
      <c r="I244" s="120"/>
      <c r="J244" s="120"/>
      <c r="K244" s="120"/>
      <c r="L244" s="120"/>
      <c r="M244" s="120"/>
      <c r="N244" s="120"/>
      <c r="O244" s="120"/>
      <c r="P244" s="120"/>
      <c r="Q244" s="139"/>
      <c r="R244" s="139"/>
      <c r="S244" s="139"/>
      <c r="T244" s="139"/>
      <c r="U244" s="139"/>
      <c r="AC244" s="105"/>
    </row>
    <row r="245" spans="2:29" ht="15.6" hidden="1">
      <c r="B245" s="123" t="s">
        <v>193</v>
      </c>
      <c r="C245" s="124" t="s">
        <v>194</v>
      </c>
      <c r="D245" s="118"/>
      <c r="E245" s="120"/>
      <c r="F245" s="120"/>
      <c r="G245" s="120"/>
      <c r="H245" s="120">
        <f t="shared" si="1"/>
        <v>1.875</v>
      </c>
      <c r="I245" s="120"/>
      <c r="J245" s="120"/>
      <c r="K245" s="120"/>
      <c r="L245" s="120"/>
      <c r="M245" s="120"/>
      <c r="N245" s="120"/>
      <c r="O245" s="120"/>
      <c r="P245" s="120"/>
      <c r="Q245" s="139"/>
      <c r="R245" s="139"/>
      <c r="S245" s="139"/>
      <c r="T245" s="139"/>
      <c r="U245" s="139"/>
      <c r="AC245" s="105"/>
    </row>
    <row r="246" spans="2:29" ht="16.2" hidden="1" thickBot="1">
      <c r="B246" s="127" t="s">
        <v>195</v>
      </c>
      <c r="C246" s="128" t="s">
        <v>196</v>
      </c>
      <c r="D246" s="118"/>
      <c r="E246" s="120"/>
      <c r="F246" s="120"/>
      <c r="G246" s="120"/>
      <c r="H246" s="120">
        <f t="shared" si="1"/>
        <v>100</v>
      </c>
      <c r="I246" s="120"/>
      <c r="J246" s="120"/>
      <c r="K246" s="120"/>
      <c r="L246" s="120"/>
      <c r="M246" s="120"/>
      <c r="N246" s="120"/>
      <c r="O246" s="120"/>
      <c r="P246" s="120"/>
      <c r="Q246" s="139"/>
      <c r="R246" s="139"/>
      <c r="S246" s="139"/>
      <c r="T246" s="139"/>
      <c r="U246" s="139"/>
      <c r="AC246" s="105"/>
    </row>
    <row r="247" spans="2:29" hidden="1">
      <c r="B247" s="118"/>
      <c r="C247" s="119"/>
      <c r="D247" s="118"/>
      <c r="E247" s="120"/>
      <c r="F247" s="120"/>
      <c r="G247" s="120"/>
      <c r="H247" s="120"/>
      <c r="I247" s="120"/>
      <c r="J247" s="120"/>
      <c r="K247" s="120"/>
      <c r="L247" s="120"/>
      <c r="M247" s="120"/>
      <c r="N247" s="120"/>
      <c r="O247" s="120"/>
      <c r="P247" s="120"/>
      <c r="Q247" s="139"/>
      <c r="R247" s="139"/>
      <c r="S247" s="139"/>
      <c r="T247" s="139"/>
      <c r="U247" s="139"/>
      <c r="AC247" s="105"/>
    </row>
    <row r="248" spans="2:29" hidden="1">
      <c r="B248" s="118"/>
      <c r="C248" s="119"/>
      <c r="D248" s="118"/>
      <c r="E248" s="120"/>
      <c r="F248" s="120"/>
      <c r="G248" s="120"/>
      <c r="H248" s="120"/>
      <c r="I248" s="120"/>
      <c r="J248" s="120"/>
      <c r="K248" s="120"/>
      <c r="L248" s="120"/>
      <c r="M248" s="120"/>
      <c r="N248" s="120"/>
      <c r="O248" s="120"/>
      <c r="P248" s="120"/>
      <c r="Q248" s="139"/>
      <c r="R248" s="139"/>
      <c r="S248" s="139"/>
      <c r="T248" s="139"/>
      <c r="U248" s="139"/>
      <c r="AC248" s="105"/>
    </row>
    <row r="249" spans="2:29" hidden="1">
      <c r="B249" s="118"/>
      <c r="C249" s="119"/>
      <c r="D249" s="118"/>
      <c r="E249" s="120"/>
      <c r="F249" s="120"/>
      <c r="G249" s="120"/>
      <c r="H249" s="120"/>
      <c r="I249" s="120"/>
      <c r="J249" s="120"/>
      <c r="K249" s="120"/>
      <c r="L249" s="120"/>
      <c r="M249" s="120"/>
      <c r="N249" s="120"/>
      <c r="O249" s="120"/>
      <c r="P249"/>
      <c r="Q249" s="83"/>
      <c r="R249" s="83"/>
      <c r="S249" s="83"/>
      <c r="T249" s="83"/>
      <c r="U249" s="83"/>
    </row>
    <row r="250" spans="2:29" hidden="1">
      <c r="B250" s="118" t="s">
        <v>197</v>
      </c>
      <c r="C250" s="119"/>
      <c r="D250" s="118"/>
      <c r="E250" s="120"/>
      <c r="F250" s="120"/>
      <c r="G250" s="120"/>
      <c r="H250" s="120"/>
      <c r="I250" s="120"/>
      <c r="J250" s="120"/>
      <c r="K250" s="120"/>
      <c r="L250" s="120"/>
      <c r="M250" s="120"/>
      <c r="N250" s="120"/>
      <c r="O250" s="120"/>
      <c r="P250"/>
      <c r="Q250" s="83"/>
      <c r="R250" s="83"/>
      <c r="S250" s="83"/>
      <c r="T250" s="83"/>
      <c r="U250" s="83"/>
    </row>
    <row r="251" spans="2:29" hidden="1">
      <c r="B251" s="105"/>
      <c r="C251" s="129"/>
      <c r="D251" s="105"/>
      <c r="E251" s="130"/>
      <c r="F251" s="130"/>
      <c r="G251" s="130"/>
      <c r="H251" s="130"/>
      <c r="I251" s="130"/>
      <c r="J251" s="130"/>
      <c r="K251" s="130"/>
      <c r="L251" s="130"/>
      <c r="M251" s="130"/>
      <c r="N251" s="130"/>
      <c r="O251" s="130"/>
      <c r="P251"/>
      <c r="Q251" s="83"/>
      <c r="R251" s="83"/>
      <c r="S251" s="83"/>
      <c r="T251" s="83"/>
      <c r="U251" s="83"/>
    </row>
    <row r="252" spans="2:29">
      <c r="P252"/>
      <c r="Q252"/>
      <c r="R252"/>
      <c r="S252"/>
      <c r="T252"/>
      <c r="U252"/>
    </row>
    <row r="253" spans="2:29">
      <c r="P253"/>
      <c r="Q253"/>
      <c r="R253"/>
      <c r="S253"/>
      <c r="T253"/>
      <c r="U253"/>
    </row>
    <row r="254" spans="2:29">
      <c r="P254"/>
      <c r="Q254"/>
      <c r="R254"/>
      <c r="S254"/>
      <c r="T254"/>
      <c r="U254"/>
    </row>
    <row r="255" spans="2:29">
      <c r="P255"/>
      <c r="Q255"/>
      <c r="R255"/>
      <c r="S255"/>
      <c r="T255"/>
      <c r="U255"/>
    </row>
    <row r="256" spans="2:29">
      <c r="P256"/>
      <c r="Q256"/>
      <c r="R256"/>
      <c r="S256"/>
      <c r="T256"/>
      <c r="U256"/>
    </row>
    <row r="257" spans="16:21">
      <c r="P257"/>
      <c r="Q257"/>
      <c r="R257"/>
      <c r="S257"/>
      <c r="T257"/>
      <c r="U257"/>
    </row>
    <row r="258" spans="16:21">
      <c r="P258"/>
      <c r="Q258"/>
      <c r="R258"/>
      <c r="S258"/>
      <c r="T258"/>
      <c r="U258"/>
    </row>
    <row r="259" spans="16:21">
      <c r="P259"/>
      <c r="Q259"/>
      <c r="R259"/>
      <c r="S259"/>
      <c r="T259"/>
      <c r="U259"/>
    </row>
    <row r="260" spans="16:21">
      <c r="P260"/>
      <c r="Q260"/>
      <c r="R260"/>
      <c r="S260"/>
      <c r="T260"/>
      <c r="U260"/>
    </row>
    <row r="261" spans="16:21">
      <c r="P261"/>
      <c r="Q261"/>
      <c r="R261"/>
      <c r="S261"/>
      <c r="T261"/>
      <c r="U261"/>
    </row>
    <row r="262" spans="16:21">
      <c r="P262"/>
      <c r="Q262"/>
      <c r="R262"/>
      <c r="S262"/>
      <c r="T262"/>
      <c r="U262"/>
    </row>
    <row r="263" spans="16:21">
      <c r="P263"/>
      <c r="Q263"/>
      <c r="R263"/>
      <c r="S263"/>
      <c r="T263"/>
      <c r="U263"/>
    </row>
    <row r="264" spans="16:21">
      <c r="P264"/>
      <c r="Q264"/>
      <c r="R264"/>
      <c r="S264"/>
      <c r="T264"/>
      <c r="U264"/>
    </row>
    <row r="265" spans="16:21">
      <c r="P265"/>
      <c r="Q265"/>
      <c r="R265"/>
      <c r="S265"/>
      <c r="T265"/>
      <c r="U265"/>
    </row>
    <row r="266" spans="16:21">
      <c r="P266"/>
      <c r="Q266"/>
      <c r="R266"/>
      <c r="S266"/>
      <c r="T266"/>
      <c r="U266"/>
    </row>
    <row r="267" spans="16:21">
      <c r="P267"/>
      <c r="Q267"/>
      <c r="R267"/>
      <c r="S267"/>
      <c r="T267"/>
      <c r="U267"/>
    </row>
    <row r="268" spans="16:21">
      <c r="P268"/>
      <c r="Q268"/>
      <c r="R268"/>
      <c r="S268"/>
      <c r="T268"/>
      <c r="U268"/>
    </row>
    <row r="269" spans="16:21">
      <c r="P269"/>
      <c r="Q269"/>
      <c r="R269"/>
      <c r="S269"/>
      <c r="T269"/>
      <c r="U269"/>
    </row>
    <row r="270" spans="16:21">
      <c r="P270"/>
      <c r="Q270"/>
      <c r="R270"/>
      <c r="S270"/>
      <c r="T270"/>
      <c r="U270"/>
    </row>
    <row r="271" spans="16:21">
      <c r="P271"/>
      <c r="Q271"/>
      <c r="R271"/>
      <c r="S271"/>
      <c r="T271"/>
      <c r="U271"/>
    </row>
    <row r="272" spans="16:21">
      <c r="P272"/>
      <c r="Q272"/>
      <c r="R272"/>
      <c r="S272"/>
      <c r="T272"/>
      <c r="U272"/>
    </row>
    <row r="273" spans="16:21">
      <c r="P273"/>
      <c r="Q273"/>
      <c r="R273"/>
      <c r="S273"/>
      <c r="T273"/>
      <c r="U273"/>
    </row>
    <row r="274" spans="16:21">
      <c r="P274"/>
      <c r="Q274"/>
      <c r="R274"/>
      <c r="S274"/>
      <c r="T274"/>
      <c r="U274"/>
    </row>
    <row r="275" spans="16:21">
      <c r="P275"/>
      <c r="Q275"/>
      <c r="R275"/>
      <c r="S275"/>
      <c r="T275"/>
      <c r="U275"/>
    </row>
    <row r="276" spans="16:21">
      <c r="P276"/>
      <c r="Q276"/>
      <c r="R276"/>
      <c r="S276"/>
      <c r="T276"/>
      <c r="U276"/>
    </row>
    <row r="277" spans="16:21">
      <c r="P277"/>
      <c r="Q277"/>
      <c r="R277"/>
      <c r="S277"/>
      <c r="T277"/>
      <c r="U277"/>
    </row>
    <row r="278" spans="16:21">
      <c r="P278"/>
      <c r="Q278"/>
      <c r="R278"/>
      <c r="S278"/>
      <c r="T278"/>
      <c r="U278"/>
    </row>
    <row r="279" spans="16:21">
      <c r="P279"/>
      <c r="Q279"/>
      <c r="R279"/>
      <c r="S279"/>
      <c r="T279"/>
      <c r="U279"/>
    </row>
    <row r="280" spans="16:21">
      <c r="P280"/>
      <c r="Q280"/>
      <c r="R280"/>
      <c r="S280"/>
      <c r="T280"/>
      <c r="U280"/>
    </row>
    <row r="281" spans="16:21">
      <c r="P281"/>
      <c r="Q281"/>
      <c r="R281"/>
      <c r="S281"/>
      <c r="T281"/>
      <c r="U281"/>
    </row>
    <row r="282" spans="16:21">
      <c r="P282"/>
      <c r="Q282"/>
      <c r="R282"/>
      <c r="S282"/>
      <c r="T282"/>
      <c r="U282"/>
    </row>
    <row r="283" spans="16:21">
      <c r="P283"/>
      <c r="Q283"/>
      <c r="R283"/>
      <c r="S283"/>
      <c r="T283"/>
      <c r="U283"/>
    </row>
  </sheetData>
  <mergeCells count="100">
    <mergeCell ref="AC2:AG2"/>
    <mergeCell ref="B17:B18"/>
    <mergeCell ref="C17:C18"/>
    <mergeCell ref="B19:B20"/>
    <mergeCell ref="C19:C20"/>
    <mergeCell ref="C5:D5"/>
    <mergeCell ref="B10:D10"/>
    <mergeCell ref="B11:B12"/>
    <mergeCell ref="C11:C12"/>
    <mergeCell ref="B13:B14"/>
    <mergeCell ref="C13:C14"/>
    <mergeCell ref="C4:D4"/>
    <mergeCell ref="E2:I2"/>
    <mergeCell ref="K2:O2"/>
    <mergeCell ref="Q2:U2"/>
    <mergeCell ref="W2:AA2"/>
    <mergeCell ref="C50:C51"/>
    <mergeCell ref="B52:B53"/>
    <mergeCell ref="C52:C53"/>
    <mergeCell ref="B48:B49"/>
    <mergeCell ref="C48:C49"/>
    <mergeCell ref="B50:B51"/>
    <mergeCell ref="H97:I97"/>
    <mergeCell ref="C6:D6"/>
    <mergeCell ref="C7:D7"/>
    <mergeCell ref="C8:D8"/>
    <mergeCell ref="C9:D9"/>
    <mergeCell ref="C89:D89"/>
    <mergeCell ref="C90:D90"/>
    <mergeCell ref="C91:D91"/>
    <mergeCell ref="C92:D92"/>
    <mergeCell ref="C93:D93"/>
    <mergeCell ref="C94:D94"/>
    <mergeCell ref="C58:C59"/>
    <mergeCell ref="B60:D60"/>
    <mergeCell ref="B35:D35"/>
    <mergeCell ref="B15:B16"/>
    <mergeCell ref="C15:C16"/>
    <mergeCell ref="B46:B47"/>
    <mergeCell ref="C23:C24"/>
    <mergeCell ref="B25:B26"/>
    <mergeCell ref="C25:C26"/>
    <mergeCell ref="B27:B28"/>
    <mergeCell ref="C42:C43"/>
    <mergeCell ref="B44:B45"/>
    <mergeCell ref="C44:C45"/>
    <mergeCell ref="B36:B37"/>
    <mergeCell ref="C36:C37"/>
    <mergeCell ref="B38:B39"/>
    <mergeCell ref="B42:B43"/>
    <mergeCell ref="B40:B41"/>
    <mergeCell ref="C40:C41"/>
    <mergeCell ref="C46:C47"/>
    <mergeCell ref="C38:C39"/>
    <mergeCell ref="B21:B22"/>
    <mergeCell ref="C21:C22"/>
    <mergeCell ref="B31:B32"/>
    <mergeCell ref="C31:C32"/>
    <mergeCell ref="B33:B34"/>
    <mergeCell ref="C33:C34"/>
    <mergeCell ref="B29:B30"/>
    <mergeCell ref="C29:C30"/>
    <mergeCell ref="B23:B24"/>
    <mergeCell ref="C27:C28"/>
    <mergeCell ref="B54:B55"/>
    <mergeCell ref="B79:B80"/>
    <mergeCell ref="C79:C80"/>
    <mergeCell ref="B61:B62"/>
    <mergeCell ref="C61:C62"/>
    <mergeCell ref="B63:B64"/>
    <mergeCell ref="B77:B78"/>
    <mergeCell ref="C77:C78"/>
    <mergeCell ref="B65:B66"/>
    <mergeCell ref="C65:C66"/>
    <mergeCell ref="B58:B59"/>
    <mergeCell ref="B75:B76"/>
    <mergeCell ref="C75:C76"/>
    <mergeCell ref="C54:C55"/>
    <mergeCell ref="B71:B72"/>
    <mergeCell ref="B56:B57"/>
    <mergeCell ref="C56:C57"/>
    <mergeCell ref="B67:B68"/>
    <mergeCell ref="C67:C68"/>
    <mergeCell ref="C69:C70"/>
    <mergeCell ref="B73:B74"/>
    <mergeCell ref="C73:C74"/>
    <mergeCell ref="C63:C64"/>
    <mergeCell ref="B69:B70"/>
    <mergeCell ref="B197:B198"/>
    <mergeCell ref="B81:B82"/>
    <mergeCell ref="C81:C82"/>
    <mergeCell ref="B83:B84"/>
    <mergeCell ref="C83:C84"/>
    <mergeCell ref="B193:B194"/>
    <mergeCell ref="B195:B196"/>
    <mergeCell ref="B85:D85"/>
    <mergeCell ref="C86:D86"/>
    <mergeCell ref="B87:B88"/>
    <mergeCell ref="C87:C88"/>
    <mergeCell ref="C71:C72"/>
  </mergeCells>
  <printOptions headings="1"/>
  <pageMargins left="0.75" right="0.75" top="1" bottom="1" header="0.5" footer="0.5"/>
  <pageSetup scale="72"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sheetPr codeName="Sheet7">
    <pageSetUpPr fitToPage="1"/>
  </sheetPr>
  <dimension ref="B1:Q47"/>
  <sheetViews>
    <sheetView showGridLines="0" topLeftCell="A212" zoomScale="85" workbookViewId="0">
      <selection activeCell="H228" sqref="H228"/>
    </sheetView>
  </sheetViews>
  <sheetFormatPr defaultColWidth="59.33203125" defaultRowHeight="13.2"/>
  <cols>
    <col min="1" max="1" width="6.33203125" customWidth="1"/>
    <col min="2" max="2" width="11" customWidth="1"/>
    <col min="3" max="3" width="63.109375" bestFit="1" customWidth="1"/>
    <col min="4" max="4" width="8.88671875" customWidth="1"/>
    <col min="5" max="6" width="7.88671875" customWidth="1"/>
    <col min="7" max="7" width="6.5546875" style="80" customWidth="1"/>
    <col min="8" max="8" width="13.6640625" style="80" customWidth="1"/>
    <col min="9" max="9" width="8.88671875" style="80" customWidth="1"/>
    <col min="10" max="10" width="12.109375" style="80" customWidth="1"/>
    <col min="11" max="13" width="8.88671875" style="80" customWidth="1"/>
    <col min="14" max="254" width="8.88671875" customWidth="1"/>
    <col min="255" max="255" width="11" customWidth="1"/>
  </cols>
  <sheetData>
    <row r="1" spans="2:17" ht="42" customHeight="1">
      <c r="B1" s="79"/>
      <c r="M1" s="81"/>
      <c r="N1" s="50"/>
      <c r="O1" s="50"/>
    </row>
    <row r="2" spans="2:17" ht="22.8">
      <c r="B2" s="213" t="s">
        <v>218</v>
      </c>
      <c r="C2" s="214"/>
      <c r="D2" s="214"/>
      <c r="E2" s="214"/>
      <c r="F2" s="83"/>
      <c r="M2" s="81"/>
      <c r="N2" s="50"/>
      <c r="O2" s="50"/>
    </row>
    <row r="3" spans="2:17" ht="9" customHeight="1" thickBot="1">
      <c r="B3" s="41"/>
      <c r="C3" s="41"/>
      <c r="D3" s="41"/>
      <c r="E3" s="41"/>
    </row>
    <row r="4" spans="2:17" ht="18.75" customHeight="1">
      <c r="B4" s="41"/>
      <c r="C4" s="85" t="s">
        <v>301</v>
      </c>
      <c r="D4" s="86" t="str">
        <f>INDEX(B42:B46,B40)</f>
        <v>4Gb S4</v>
      </c>
      <c r="E4" s="87"/>
    </row>
    <row r="5" spans="2:17" ht="18.75" customHeight="1">
      <c r="B5" s="41"/>
      <c r="C5" s="88" t="s">
        <v>302</v>
      </c>
      <c r="D5" s="78" t="str">
        <f>INDEX(E42:E44,E40)</f>
        <v>x16</v>
      </c>
      <c r="E5" s="18"/>
    </row>
    <row r="6" spans="2:17" ht="18.75" customHeight="1">
      <c r="B6" s="41"/>
      <c r="C6" s="88" t="s">
        <v>25</v>
      </c>
      <c r="D6" s="89" t="str">
        <f>INDEX(C42:C46,C40)</f>
        <v>-18</v>
      </c>
      <c r="E6" s="18"/>
    </row>
    <row r="7" spans="2:17" ht="18.75" customHeight="1" thickBot="1">
      <c r="B7" s="41"/>
      <c r="C7" s="164" t="s">
        <v>320</v>
      </c>
      <c r="D7" s="218"/>
      <c r="E7" s="219"/>
    </row>
    <row r="8" spans="2:17" ht="29.25" customHeight="1" thickBot="1">
      <c r="B8" s="41"/>
      <c r="C8" s="90"/>
      <c r="D8" s="91"/>
      <c r="E8" s="90"/>
    </row>
    <row r="9" spans="2:17" s="80" customFormat="1" ht="15.9" customHeight="1">
      <c r="B9" s="215" t="s">
        <v>28</v>
      </c>
      <c r="C9" s="217" t="s">
        <v>29</v>
      </c>
      <c r="D9" s="195" t="s">
        <v>256</v>
      </c>
      <c r="E9" s="195" t="s">
        <v>257</v>
      </c>
      <c r="F9" s="195" t="s">
        <v>258</v>
      </c>
      <c r="G9" s="207" t="s">
        <v>27</v>
      </c>
      <c r="H9"/>
      <c r="P9"/>
      <c r="Q9"/>
    </row>
    <row r="10" spans="2:17" s="80" customFormat="1" ht="15.9" customHeight="1">
      <c r="B10" s="216"/>
      <c r="C10" s="196"/>
      <c r="D10" s="196"/>
      <c r="E10" s="196"/>
      <c r="F10" s="196"/>
      <c r="G10" s="208"/>
      <c r="H10"/>
      <c r="P10"/>
      <c r="Q10"/>
    </row>
    <row r="11" spans="2:17" s="80" customFormat="1" ht="15.9" customHeight="1">
      <c r="B11" s="156"/>
      <c r="C11" s="158" t="s">
        <v>305</v>
      </c>
      <c r="D11" s="201">
        <f>INDEX(F42:F44,E40)</f>
        <v>16</v>
      </c>
      <c r="E11" s="202"/>
      <c r="F11" s="203"/>
      <c r="G11" s="157"/>
      <c r="H11"/>
      <c r="P11"/>
      <c r="Q11"/>
    </row>
    <row r="12" spans="2:17" s="80" customFormat="1" ht="13.8">
      <c r="B12" s="211"/>
      <c r="C12" s="93" t="s">
        <v>145</v>
      </c>
      <c r="D12" s="201">
        <f>INDEX(G42:G44,E40)</f>
        <v>4</v>
      </c>
      <c r="E12" s="202"/>
      <c r="F12" s="203"/>
      <c r="G12" s="199" t="s">
        <v>261</v>
      </c>
      <c r="H12" s="1"/>
      <c r="I12" s="82"/>
      <c r="P12"/>
      <c r="Q12"/>
    </row>
    <row r="13" spans="2:17" s="80" customFormat="1" ht="13.8">
      <c r="B13" s="212"/>
      <c r="C13" s="93" t="s">
        <v>146</v>
      </c>
      <c r="D13" s="204">
        <f>INDEX(H42:H44,E40)</f>
        <v>2</v>
      </c>
      <c r="E13" s="205"/>
      <c r="F13" s="206"/>
      <c r="G13" s="200"/>
      <c r="H13" s="1"/>
      <c r="I13" s="82"/>
      <c r="P13"/>
      <c r="Q13"/>
    </row>
    <row r="14" spans="2:17" s="80" customFormat="1" ht="13.8">
      <c r="B14" s="197"/>
      <c r="C14" s="177"/>
      <c r="D14" s="177"/>
      <c r="E14" s="177"/>
      <c r="F14" s="177"/>
      <c r="G14" s="198"/>
      <c r="H14" s="1"/>
      <c r="I14" s="82"/>
      <c r="P14"/>
      <c r="Q14"/>
    </row>
    <row r="15" spans="2:17" s="80" customFormat="1" ht="13.8">
      <c r="B15" s="209" t="s">
        <v>259</v>
      </c>
      <c r="C15" s="93" t="s">
        <v>179</v>
      </c>
      <c r="D15" s="94">
        <f>'LPDDR2-S4 Specs'!H193</f>
        <v>1.95</v>
      </c>
      <c r="E15" s="94">
        <f>'LPDDR2-S4 Specs'!H195</f>
        <v>1.3</v>
      </c>
      <c r="F15" s="94">
        <f>'LPDDR2-S4 Specs'!H197</f>
        <v>1.3</v>
      </c>
      <c r="G15" s="95" t="s">
        <v>1</v>
      </c>
      <c r="H15" s="1"/>
      <c r="I15" s="82"/>
      <c r="P15"/>
      <c r="Q15"/>
    </row>
    <row r="16" spans="2:17" s="80" customFormat="1" ht="13.8">
      <c r="B16" s="210"/>
      <c r="C16" s="93" t="s">
        <v>180</v>
      </c>
      <c r="D16" s="94">
        <f>'LPDDR2-S4 Specs'!H194</f>
        <v>1.7</v>
      </c>
      <c r="E16" s="94">
        <f>'LPDDR2-S4 Specs'!H196</f>
        <v>1.1399999999999999</v>
      </c>
      <c r="F16" s="94">
        <f>'LPDDR2-S4 Specs'!H198</f>
        <v>1.1399999999999999</v>
      </c>
      <c r="G16" s="95" t="s">
        <v>1</v>
      </c>
      <c r="H16" s="1"/>
      <c r="I16" s="82"/>
      <c r="P16"/>
      <c r="Q16"/>
    </row>
    <row r="17" spans="2:17" s="80" customFormat="1" ht="13.8">
      <c r="B17" s="197"/>
      <c r="C17" s="177"/>
      <c r="D17" s="177"/>
      <c r="E17" s="177"/>
      <c r="F17" s="177"/>
      <c r="G17" s="198"/>
      <c r="H17" s="1"/>
      <c r="I17" s="82"/>
      <c r="P17"/>
      <c r="Q17"/>
    </row>
    <row r="18" spans="2:17" s="80" customFormat="1" ht="13.8">
      <c r="B18" s="92" t="s">
        <v>147</v>
      </c>
      <c r="C18" s="93" t="s">
        <v>148</v>
      </c>
      <c r="D18" s="94">
        <f>'LPDDR2-S4 Specs'!H200</f>
        <v>15</v>
      </c>
      <c r="E18" s="94">
        <f>'LPDDR2-S4 Specs'!H213</f>
        <v>70</v>
      </c>
      <c r="F18" s="94">
        <f>'LPDDR2-S4 Specs'!H226</f>
        <v>7</v>
      </c>
      <c r="G18" s="95" t="s">
        <v>2</v>
      </c>
      <c r="H18"/>
      <c r="P18"/>
      <c r="Q18"/>
    </row>
    <row r="19" spans="2:17" s="80" customFormat="1" ht="13.8">
      <c r="B19" s="92" t="s">
        <v>149</v>
      </c>
      <c r="C19" s="93" t="s">
        <v>150</v>
      </c>
      <c r="D19" s="94">
        <f>'LPDDR2-S4 Specs'!H201</f>
        <v>0.6</v>
      </c>
      <c r="E19" s="94">
        <f>'LPDDR2-S4 Specs'!H214</f>
        <v>0.8</v>
      </c>
      <c r="F19" s="94">
        <f>'LPDDR2-S4 Specs'!H227</f>
        <v>0.05</v>
      </c>
      <c r="G19" s="95" t="s">
        <v>2</v>
      </c>
      <c r="H19"/>
      <c r="P19"/>
      <c r="Q19"/>
    </row>
    <row r="20" spans="2:17" s="80" customFormat="1" ht="13.8">
      <c r="B20" s="92" t="s">
        <v>253</v>
      </c>
      <c r="C20" s="93" t="s">
        <v>236</v>
      </c>
      <c r="D20" s="94">
        <f>'LPDDR2-S4 Specs'!H202</f>
        <v>0.6</v>
      </c>
      <c r="E20" s="94">
        <f>'LPDDR2-S4 Specs'!H215</f>
        <v>0.8</v>
      </c>
      <c r="F20" s="94">
        <f>'LPDDR2-S4 Specs'!H228</f>
        <v>0.05</v>
      </c>
      <c r="G20" s="95" t="s">
        <v>2</v>
      </c>
      <c r="H20"/>
      <c r="P20"/>
      <c r="Q20"/>
    </row>
    <row r="21" spans="2:17" s="80" customFormat="1" ht="13.8">
      <c r="B21" s="92" t="s">
        <v>151</v>
      </c>
      <c r="C21" s="93" t="s">
        <v>152</v>
      </c>
      <c r="D21" s="94">
        <f>'LPDDR2-S4 Specs'!H203</f>
        <v>2</v>
      </c>
      <c r="E21" s="94">
        <f>'LPDDR2-S4 Specs'!H216</f>
        <v>30</v>
      </c>
      <c r="F21" s="94">
        <f>'LPDDR2-S4 Specs'!H229</f>
        <v>7</v>
      </c>
      <c r="G21" s="95" t="s">
        <v>2</v>
      </c>
      <c r="H21"/>
      <c r="P21"/>
      <c r="Q21"/>
    </row>
    <row r="22" spans="2:17" s="80" customFormat="1" ht="13.8">
      <c r="B22" s="92" t="s">
        <v>153</v>
      </c>
      <c r="C22" s="93" t="s">
        <v>154</v>
      </c>
      <c r="D22" s="94">
        <f>'LPDDR2-S4 Specs'!H204</f>
        <v>1.2</v>
      </c>
      <c r="E22" s="94">
        <f>'LPDDR2-S4 Specs'!H217</f>
        <v>8</v>
      </c>
      <c r="F22" s="94">
        <f>'LPDDR2-S4 Specs'!H230</f>
        <v>0.15</v>
      </c>
      <c r="G22" s="95" t="s">
        <v>2</v>
      </c>
      <c r="H22" s="96"/>
      <c r="P22"/>
      <c r="Q22"/>
    </row>
    <row r="23" spans="2:17" s="80" customFormat="1" ht="13.8">
      <c r="B23" s="92" t="s">
        <v>254</v>
      </c>
      <c r="C23" s="93" t="s">
        <v>255</v>
      </c>
      <c r="D23" s="94">
        <f>'LPDDR2-S4 Specs'!H205</f>
        <v>1.2</v>
      </c>
      <c r="E23" s="94">
        <f>'LPDDR2-S4 Specs'!H218</f>
        <v>8</v>
      </c>
      <c r="F23" s="94">
        <f>'LPDDR2-S4 Specs'!H231</f>
        <v>0.15</v>
      </c>
      <c r="G23" s="95" t="s">
        <v>2</v>
      </c>
      <c r="H23" s="96"/>
      <c r="P23"/>
      <c r="Q23"/>
    </row>
    <row r="24" spans="2:17" s="80" customFormat="1" ht="13.8">
      <c r="B24" s="92" t="s">
        <v>155</v>
      </c>
      <c r="C24" s="93" t="s">
        <v>156</v>
      </c>
      <c r="D24" s="94">
        <f>'LPDDR2-S4 Specs'!H206</f>
        <v>2.5</v>
      </c>
      <c r="E24" s="94">
        <f>'LPDDR2-S4 Specs'!H219</f>
        <v>30</v>
      </c>
      <c r="F24" s="94">
        <f>'LPDDR2-S4 Specs'!H232</f>
        <v>7</v>
      </c>
      <c r="G24" s="95" t="s">
        <v>2</v>
      </c>
      <c r="H24"/>
      <c r="P24"/>
      <c r="Q24"/>
    </row>
    <row r="25" spans="2:17" s="80" customFormat="1" ht="13.8">
      <c r="B25" s="92" t="s">
        <v>157</v>
      </c>
      <c r="C25" s="93" t="s">
        <v>158</v>
      </c>
      <c r="D25" s="94">
        <f>'LPDDR2-S4 Specs'!H207</f>
        <v>3</v>
      </c>
      <c r="E25" s="94">
        <f>'LPDDR2-S4 Specs'!H220</f>
        <v>220</v>
      </c>
      <c r="F25" s="94">
        <f>'LPDDR2-S4 Specs'!H233</f>
        <v>6</v>
      </c>
      <c r="G25" s="95" t="s">
        <v>2</v>
      </c>
      <c r="H25"/>
      <c r="P25"/>
      <c r="Q25"/>
    </row>
    <row r="26" spans="2:17" s="80" customFormat="1" ht="13.8">
      <c r="B26" s="92" t="s">
        <v>159</v>
      </c>
      <c r="C26" s="93" t="s">
        <v>160</v>
      </c>
      <c r="D26" s="94">
        <f>'LPDDR2-S4 Specs'!H208</f>
        <v>10</v>
      </c>
      <c r="E26" s="94">
        <f>'LPDDR2-S4 Specs'!H221</f>
        <v>190</v>
      </c>
      <c r="F26" s="94">
        <f>'LPDDR2-S4 Specs'!H234</f>
        <v>25</v>
      </c>
      <c r="G26" s="95" t="s">
        <v>2</v>
      </c>
      <c r="H26"/>
      <c r="P26"/>
      <c r="Q26"/>
    </row>
    <row r="27" spans="2:17" s="80" customFormat="1" ht="13.8">
      <c r="B27" s="92" t="s">
        <v>140</v>
      </c>
      <c r="C27" s="93" t="s">
        <v>161</v>
      </c>
      <c r="D27" s="94">
        <f>'LPDDR2-S4 Specs'!H209</f>
        <v>40</v>
      </c>
      <c r="E27" s="94">
        <f>'LPDDR2-S4 Specs'!H222</f>
        <v>150</v>
      </c>
      <c r="F27" s="94">
        <f>'LPDDR2-S4 Specs'!H235</f>
        <v>8</v>
      </c>
      <c r="G27" s="95" t="s">
        <v>2</v>
      </c>
      <c r="H27"/>
      <c r="P27"/>
      <c r="Q27"/>
    </row>
    <row r="28" spans="2:17" s="80" customFormat="1" ht="13.8">
      <c r="B28" s="92" t="s">
        <v>84</v>
      </c>
      <c r="C28" s="93" t="s">
        <v>161</v>
      </c>
      <c r="D28" s="94">
        <f>'LPDDR2-S4 Specs'!H210</f>
        <v>1</v>
      </c>
      <c r="E28" s="94">
        <f>'LPDDR2-S4 Specs'!H223</f>
        <v>3.2</v>
      </c>
      <c r="F28" s="94">
        <f>'LPDDR2-S4 Specs'!H236</f>
        <v>0.05</v>
      </c>
      <c r="G28" s="95" t="s">
        <v>2</v>
      </c>
      <c r="H28"/>
      <c r="P28"/>
      <c r="Q28"/>
    </row>
    <row r="29" spans="2:17" s="80" customFormat="1" ht="13.8">
      <c r="B29" s="92" t="s">
        <v>86</v>
      </c>
      <c r="C29" s="93" t="s">
        <v>161</v>
      </c>
      <c r="D29" s="94">
        <f>'LPDDR2-S4 Specs'!H211</f>
        <v>2.5000000000000001E-2</v>
      </c>
      <c r="E29" s="94">
        <f>'LPDDR2-S4 Specs'!H224</f>
        <v>0.1</v>
      </c>
      <c r="F29" s="94">
        <f>'LPDDR2-S4 Specs'!H237</f>
        <v>0.1</v>
      </c>
      <c r="G29" s="95" t="s">
        <v>2</v>
      </c>
      <c r="H29"/>
      <c r="P29"/>
      <c r="Q29"/>
    </row>
    <row r="30" spans="2:17" ht="13.8">
      <c r="B30" s="197"/>
      <c r="C30" s="177"/>
      <c r="D30" s="177"/>
      <c r="E30" s="198"/>
    </row>
    <row r="31" spans="2:17" ht="16.2">
      <c r="B31" s="92" t="s">
        <v>260</v>
      </c>
      <c r="C31" s="97" t="s">
        <v>162</v>
      </c>
      <c r="D31" s="94">
        <f>'LPDDR2-S4 Specs'!H239</f>
        <v>1.875</v>
      </c>
      <c r="E31" s="95" t="s">
        <v>14</v>
      </c>
    </row>
    <row r="32" spans="2:17" ht="16.2">
      <c r="B32" s="98" t="s">
        <v>163</v>
      </c>
      <c r="C32" s="93" t="s">
        <v>70</v>
      </c>
      <c r="D32" s="94">
        <f>'LPDDR2-S4 Specs'!H240</f>
        <v>10</v>
      </c>
      <c r="E32" s="95" t="s">
        <v>14</v>
      </c>
    </row>
    <row r="33" spans="2:14" ht="16.2">
      <c r="B33" s="98" t="s">
        <v>164</v>
      </c>
      <c r="C33" s="93" t="s">
        <v>165</v>
      </c>
      <c r="D33" s="94">
        <f>'LPDDR2-S4 Specs'!H241</f>
        <v>60</v>
      </c>
      <c r="E33" s="95" t="s">
        <v>14</v>
      </c>
    </row>
    <row r="34" spans="2:14" ht="16.2">
      <c r="B34" s="98" t="s">
        <v>166</v>
      </c>
      <c r="C34" s="97" t="s">
        <v>167</v>
      </c>
      <c r="D34" s="94">
        <f>'LPDDR2-S4 Specs'!H242</f>
        <v>42</v>
      </c>
      <c r="E34" s="95" t="s">
        <v>14</v>
      </c>
    </row>
    <row r="35" spans="2:14" ht="16.2">
      <c r="B35" s="98" t="s">
        <v>168</v>
      </c>
      <c r="C35" s="93" t="s">
        <v>169</v>
      </c>
      <c r="D35" s="94">
        <f>'LPDDR2-S4 Specs'!H243</f>
        <v>130</v>
      </c>
      <c r="E35" s="95" t="s">
        <v>14</v>
      </c>
    </row>
    <row r="36" spans="2:14" ht="16.2">
      <c r="B36" s="98" t="s">
        <v>170</v>
      </c>
      <c r="C36" s="93" t="s">
        <v>171</v>
      </c>
      <c r="D36" s="94">
        <f>'LPDDR2-S4 Specs'!H244</f>
        <v>3.9</v>
      </c>
      <c r="E36" s="95" t="s">
        <v>172</v>
      </c>
    </row>
    <row r="37" spans="2:14" ht="16.2">
      <c r="B37" s="98" t="s">
        <v>173</v>
      </c>
      <c r="C37" s="93" t="s">
        <v>174</v>
      </c>
      <c r="D37" s="94">
        <f>'LPDDR2-S4 Specs'!H245</f>
        <v>1.875</v>
      </c>
      <c r="E37" s="95" t="s">
        <v>14</v>
      </c>
    </row>
    <row r="38" spans="2:14" ht="16.8" thickBot="1">
      <c r="B38" s="99" t="s">
        <v>175</v>
      </c>
      <c r="C38" s="100" t="s">
        <v>176</v>
      </c>
      <c r="D38" s="94">
        <f>'LPDDR2-S4 Specs'!H246</f>
        <v>100</v>
      </c>
      <c r="E38" s="101" t="s">
        <v>14</v>
      </c>
    </row>
    <row r="40" spans="2:14" hidden="1">
      <c r="B40" s="80">
        <v>5</v>
      </c>
      <c r="C40" s="80">
        <v>1</v>
      </c>
      <c r="D40" s="81"/>
      <c r="E40" s="81">
        <v>2</v>
      </c>
      <c r="F40" s="81"/>
      <c r="G40" s="81"/>
      <c r="I40" s="80">
        <v>2</v>
      </c>
    </row>
    <row r="41" spans="2:14" hidden="1">
      <c r="B41" s="80"/>
      <c r="C41" s="80" t="s">
        <v>25</v>
      </c>
      <c r="D41" s="81"/>
      <c r="E41" s="81" t="s">
        <v>142</v>
      </c>
      <c r="F41" s="81" t="s">
        <v>233</v>
      </c>
      <c r="G41" s="81" t="s">
        <v>234</v>
      </c>
      <c r="I41" s="165" t="s">
        <v>321</v>
      </c>
    </row>
    <row r="42" spans="2:14" hidden="1">
      <c r="B42" s="80" t="str">
        <f>'LPDDR2-S4 Specs'!E2</f>
        <v>256Mb S4</v>
      </c>
      <c r="C42" s="159" t="s">
        <v>198</v>
      </c>
      <c r="D42" s="81"/>
      <c r="E42" s="81" t="s">
        <v>143</v>
      </c>
      <c r="F42" s="84">
        <v>8</v>
      </c>
      <c r="G42" s="81">
        <v>2</v>
      </c>
      <c r="H42" s="81">
        <v>1</v>
      </c>
      <c r="I42" s="159">
        <v>1</v>
      </c>
      <c r="N42" s="80"/>
    </row>
    <row r="43" spans="2:14" hidden="1">
      <c r="B43" s="80" t="str">
        <f>'LPDDR2-S4 Specs'!K2</f>
        <v>512Mb S4</v>
      </c>
      <c r="C43" s="159" t="s">
        <v>177</v>
      </c>
      <c r="D43" s="81"/>
      <c r="E43" s="81" t="s">
        <v>144</v>
      </c>
      <c r="F43" s="84">
        <v>16</v>
      </c>
      <c r="G43" s="81">
        <v>4</v>
      </c>
      <c r="H43" s="81">
        <v>2</v>
      </c>
      <c r="I43" s="159">
        <v>2</v>
      </c>
      <c r="N43" s="80"/>
    </row>
    <row r="44" spans="2:14" hidden="1">
      <c r="B44" s="80" t="str">
        <f>'LPDDR2-S4 Specs'!Q2</f>
        <v>1Gb S4</v>
      </c>
      <c r="C44" s="159" t="s">
        <v>178</v>
      </c>
      <c r="D44" s="81"/>
      <c r="E44" s="81" t="s">
        <v>210</v>
      </c>
      <c r="F44" s="84">
        <v>32</v>
      </c>
      <c r="G44" s="81">
        <v>8</v>
      </c>
      <c r="H44" s="80">
        <v>4</v>
      </c>
      <c r="I44" s="159"/>
      <c r="N44" s="80"/>
    </row>
    <row r="45" spans="2:14" hidden="1">
      <c r="B45" s="80" t="str">
        <f>'LPDDR2-S4 Specs'!W2</f>
        <v>2Gb S4</v>
      </c>
      <c r="C45" s="159" t="s">
        <v>199</v>
      </c>
      <c r="D45" s="80"/>
      <c r="E45" s="80"/>
      <c r="F45" s="80"/>
      <c r="I45" s="159"/>
    </row>
    <row r="46" spans="2:14" hidden="1">
      <c r="B46" s="80" t="str">
        <f>'LPDDR2-S4 Specs'!AC2</f>
        <v>4Gb S4</v>
      </c>
      <c r="C46" s="159" t="s">
        <v>200</v>
      </c>
      <c r="D46" s="80"/>
      <c r="E46" s="80"/>
      <c r="F46" s="80"/>
      <c r="I46" s="159"/>
    </row>
    <row r="47" spans="2:14">
      <c r="B47" s="80"/>
      <c r="C47" s="82"/>
      <c r="D47" s="80"/>
      <c r="E47" s="80"/>
      <c r="F47" s="80"/>
    </row>
  </sheetData>
  <sheetProtection selectLockedCells="1" selectUnlockedCells="1"/>
  <protectedRanges>
    <protectedRange sqref="D14:F17 E18:F29 D18:D38 D11:E13" name="Range1"/>
  </protectedRanges>
  <mergeCells count="17">
    <mergeCell ref="B2:E2"/>
    <mergeCell ref="B9:B10"/>
    <mergeCell ref="C9:C10"/>
    <mergeCell ref="D9:D10"/>
    <mergeCell ref="E9:E10"/>
    <mergeCell ref="D7:E7"/>
    <mergeCell ref="F9:F10"/>
    <mergeCell ref="B30:E30"/>
    <mergeCell ref="G12:G13"/>
    <mergeCell ref="D12:F12"/>
    <mergeCell ref="D13:F13"/>
    <mergeCell ref="D11:F11"/>
    <mergeCell ref="G9:G10"/>
    <mergeCell ref="B15:B16"/>
    <mergeCell ref="B17:G17"/>
    <mergeCell ref="B14:G14"/>
    <mergeCell ref="B12:B13"/>
  </mergeCells>
  <printOptions headings="1"/>
  <pageMargins left="0.75" right="0.75" top="1" bottom="1" header="0.5" footer="0.5"/>
  <pageSetup scale="78"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sheetPr codeName="Sheet4">
    <pageSetUpPr fitToPage="1"/>
  </sheetPr>
  <dimension ref="B1:F28"/>
  <sheetViews>
    <sheetView showGridLines="0" topLeftCell="A223" zoomScale="90" zoomScaleNormal="90" workbookViewId="0">
      <selection activeCell="H228" sqref="H228"/>
    </sheetView>
  </sheetViews>
  <sheetFormatPr defaultRowHeight="13.2"/>
  <cols>
    <col min="1" max="1" width="5.6640625" customWidth="1"/>
    <col min="2" max="2" width="44.44140625" bestFit="1" customWidth="1"/>
    <col min="3" max="4" width="7.88671875" customWidth="1"/>
    <col min="5" max="5" width="7.6640625" customWidth="1"/>
    <col min="6" max="6" width="70.44140625" bestFit="1" customWidth="1"/>
  </cols>
  <sheetData>
    <row r="1" spans="2:6" ht="42" customHeight="1"/>
    <row r="2" spans="2:6" ht="20.399999999999999">
      <c r="B2" s="228" t="s">
        <v>51</v>
      </c>
      <c r="C2" s="228"/>
      <c r="D2" s="228"/>
      <c r="E2" s="228"/>
      <c r="F2" s="228"/>
    </row>
    <row r="3" spans="2:6" ht="13.8" thickBot="1">
      <c r="B3" s="41"/>
      <c r="C3" s="41"/>
      <c r="D3" s="41"/>
      <c r="E3" s="41"/>
      <c r="F3" s="41"/>
    </row>
    <row r="4" spans="2:6">
      <c r="B4" s="160" t="s">
        <v>28</v>
      </c>
      <c r="C4" s="233" t="s">
        <v>26</v>
      </c>
      <c r="D4" s="233"/>
      <c r="E4" s="233"/>
      <c r="F4" s="154" t="s">
        <v>139</v>
      </c>
    </row>
    <row r="5" spans="2:6" ht="15.6">
      <c r="B5" s="141" t="s">
        <v>94</v>
      </c>
      <c r="C5" s="155">
        <v>1.8</v>
      </c>
      <c r="D5" s="155">
        <v>1.2</v>
      </c>
      <c r="E5" s="155">
        <v>1.2</v>
      </c>
      <c r="F5" s="142" t="str">
        <f>IF(C5&lt;'Device Config'!D16,"ERROR, VDD1 too Low",IF(C5&gt;'Device Config'!D15,"ERROR, VDD1 too High",""))&amp;(IF(D5&lt;'Device Config'!E16,"ERROR, VDD2 too Low",IF(D5&gt;'Device Config'!D15,"ERROR, VDD2 too High","")))</f>
        <v/>
      </c>
    </row>
    <row r="6" spans="2:6">
      <c r="B6" s="141" t="s">
        <v>98</v>
      </c>
      <c r="C6" s="222">
        <v>200</v>
      </c>
      <c r="D6" s="222"/>
      <c r="E6" s="222"/>
      <c r="F6" s="143" t="str">
        <f>IF(C6+1&lt;1000/'Device Config'!D38,"ERROR: value entered is lower than specified operational frequency range",IF(C6-1&gt;1000/'Device Config'!D37,"ERROR: valued entered is higher than specified operational frequency range",""))</f>
        <v/>
      </c>
    </row>
    <row r="7" spans="2:6" ht="55.2">
      <c r="B7" s="162" t="s">
        <v>90</v>
      </c>
      <c r="C7" s="226">
        <f>0.5* 0.000000005*1.3^2*C6*1000000</f>
        <v>0.8450000000000002</v>
      </c>
      <c r="D7" s="227"/>
      <c r="E7" s="168" t="s">
        <v>0</v>
      </c>
      <c r="F7" s="161" t="s">
        <v>315</v>
      </c>
    </row>
    <row r="8" spans="2:6" ht="15.6">
      <c r="B8" s="141" t="s">
        <v>102</v>
      </c>
      <c r="C8" s="222">
        <v>8</v>
      </c>
      <c r="D8" s="222"/>
      <c r="E8" s="222"/>
      <c r="F8" s="144" t="s">
        <v>137</v>
      </c>
    </row>
    <row r="9" spans="2:6">
      <c r="B9" s="229"/>
      <c r="C9" s="230"/>
      <c r="D9" s="230"/>
      <c r="E9" s="230"/>
      <c r="F9" s="231"/>
    </row>
    <row r="10" spans="2:6">
      <c r="B10" s="141" t="s">
        <v>99</v>
      </c>
      <c r="C10" s="241">
        <v>0.65</v>
      </c>
      <c r="D10" s="222"/>
      <c r="E10" s="222"/>
      <c r="F10" s="143"/>
    </row>
    <row r="11" spans="2:6" ht="26.4">
      <c r="B11" s="141" t="s">
        <v>62</v>
      </c>
      <c r="C11" s="224">
        <v>0.68</v>
      </c>
      <c r="D11" s="224"/>
      <c r="E11" s="224"/>
      <c r="F11" s="145" t="str">
        <f>IF(SUM(C11:C12)&gt;1,"ERROR: Data Bus utilization is too high","")</f>
        <v/>
      </c>
    </row>
    <row r="12" spans="2:6" ht="26.4">
      <c r="B12" s="141" t="s">
        <v>63</v>
      </c>
      <c r="C12" s="224">
        <v>0.02</v>
      </c>
      <c r="D12" s="224"/>
      <c r="E12" s="224"/>
      <c r="F12" s="146"/>
    </row>
    <row r="13" spans="2:6" ht="39.6">
      <c r="B13" s="141" t="s">
        <v>61</v>
      </c>
      <c r="C13" s="240">
        <f>INT((((C8/2)/(C11+C12))/(1-C10))*10000/C6)/10</f>
        <v>81.599999999999994</v>
      </c>
      <c r="D13" s="240"/>
      <c r="E13" s="240"/>
      <c r="F13" s="145" t="str">
        <f>IF(C$13*'Device Config'!D$31&lt;'Device Config'!D$32,"ERROR, Must be greater than tRRDmin","")</f>
        <v/>
      </c>
    </row>
    <row r="14" spans="2:6">
      <c r="B14" s="237"/>
      <c r="C14" s="238"/>
      <c r="D14" s="238"/>
      <c r="E14" s="238"/>
      <c r="F14" s="239"/>
    </row>
    <row r="15" spans="2:6" ht="26.4">
      <c r="B15" s="141" t="s">
        <v>97</v>
      </c>
      <c r="C15" s="223">
        <v>0.3</v>
      </c>
      <c r="D15" s="223"/>
      <c r="E15" s="223"/>
      <c r="F15" s="147" t="str">
        <f>IF(C11+C28+C15&gt;1,"ERROR: READ + WRITE + Idle time exceeds 100%","")</f>
        <v/>
      </c>
    </row>
    <row r="16" spans="2:6" ht="26.4">
      <c r="B16" s="141" t="s">
        <v>113</v>
      </c>
      <c r="C16" s="224">
        <v>0</v>
      </c>
      <c r="D16" s="224"/>
      <c r="E16" s="224"/>
      <c r="F16" s="144"/>
    </row>
    <row r="17" spans="2:6" ht="26.4">
      <c r="B17" s="141" t="s">
        <v>114</v>
      </c>
      <c r="C17" s="224">
        <v>0</v>
      </c>
      <c r="D17" s="224"/>
      <c r="E17" s="224"/>
      <c r="F17" s="144"/>
    </row>
    <row r="18" spans="2:6" ht="26.4">
      <c r="B18" s="141" t="s">
        <v>115</v>
      </c>
      <c r="C18" s="224">
        <v>0</v>
      </c>
      <c r="D18" s="224"/>
      <c r="E18" s="224"/>
      <c r="F18" s="147" t="str">
        <f>IF(C16+C17+C18&gt;1,"ERROR:  power-down, DPD, and SREF time cannot be more than 100%","")</f>
        <v/>
      </c>
    </row>
    <row r="19" spans="2:6" ht="26.4">
      <c r="B19" s="141" t="s">
        <v>100</v>
      </c>
      <c r="C19" s="242">
        <f>1-(C11+C12+C15)</f>
        <v>0</v>
      </c>
      <c r="D19" s="242"/>
      <c r="E19" s="242"/>
      <c r="F19" s="146" t="s">
        <v>138</v>
      </c>
    </row>
    <row r="20" spans="2:6" ht="27" thickBot="1">
      <c r="B20" s="148" t="s">
        <v>101</v>
      </c>
      <c r="C20" s="225">
        <v>0</v>
      </c>
      <c r="D20" s="225"/>
      <c r="E20" s="225"/>
      <c r="F20" s="149" t="str">
        <f>IF(1-C20&lt;(C19*(C11+C12)),"ERROR: CKE LOW % cannot be greater than READ + WRITE output cycles","")</f>
        <v/>
      </c>
    </row>
    <row r="21" spans="2:6">
      <c r="B21" s="234" t="s">
        <v>319</v>
      </c>
      <c r="C21" s="235"/>
      <c r="D21" s="235"/>
      <c r="E21" s="235"/>
      <c r="F21" s="236"/>
    </row>
    <row r="22" spans="2:6" ht="26.4">
      <c r="B22" s="141" t="s">
        <v>318</v>
      </c>
      <c r="C22" s="224">
        <v>0</v>
      </c>
      <c r="D22" s="224"/>
      <c r="E22" s="224"/>
      <c r="F22" s="145"/>
    </row>
    <row r="23" spans="2:6" ht="26.4">
      <c r="B23" s="141" t="s">
        <v>317</v>
      </c>
      <c r="C23" s="224">
        <v>0</v>
      </c>
      <c r="D23" s="224"/>
      <c r="E23" s="224"/>
      <c r="F23" s="145"/>
    </row>
    <row r="24" spans="2:6" ht="26.4">
      <c r="B24" s="141" t="s">
        <v>316</v>
      </c>
      <c r="C24" s="224">
        <v>0</v>
      </c>
      <c r="D24" s="224"/>
      <c r="E24" s="224"/>
      <c r="F24" s="145"/>
    </row>
    <row r="25" spans="2:6" ht="26.4">
      <c r="B25" s="141" t="s">
        <v>322</v>
      </c>
      <c r="C25" s="224">
        <v>0.3</v>
      </c>
      <c r="D25" s="224"/>
      <c r="E25" s="224"/>
      <c r="F25" s="145"/>
    </row>
    <row r="26" spans="2:6" ht="27" thickBot="1">
      <c r="B26" s="148" t="s">
        <v>323</v>
      </c>
      <c r="C26" s="232">
        <f>1-(C22+C23+C24+C25)</f>
        <v>0.7</v>
      </c>
      <c r="D26" s="232"/>
      <c r="E26" s="232"/>
      <c r="F26" s="163" t="s">
        <v>138</v>
      </c>
    </row>
    <row r="27" spans="2:6" ht="13.8" thickBot="1">
      <c r="B27" s="41"/>
      <c r="C27" s="41"/>
      <c r="D27" s="41"/>
      <c r="E27" s="41"/>
      <c r="F27" s="41"/>
    </row>
    <row r="28" spans="2:6" ht="54" customHeight="1" thickBot="1">
      <c r="B28" s="220" t="s">
        <v>135</v>
      </c>
      <c r="C28" s="221"/>
      <c r="D28" s="41"/>
      <c r="E28" s="41"/>
      <c r="F28" s="72" t="s">
        <v>136</v>
      </c>
    </row>
  </sheetData>
  <mergeCells count="24">
    <mergeCell ref="B2:F2"/>
    <mergeCell ref="B9:F9"/>
    <mergeCell ref="C26:E26"/>
    <mergeCell ref="C23:E23"/>
    <mergeCell ref="C11:E11"/>
    <mergeCell ref="C22:E22"/>
    <mergeCell ref="C24:E24"/>
    <mergeCell ref="C25:E25"/>
    <mergeCell ref="C18:E18"/>
    <mergeCell ref="C4:E4"/>
    <mergeCell ref="B21:F21"/>
    <mergeCell ref="C17:E17"/>
    <mergeCell ref="B14:F14"/>
    <mergeCell ref="C13:E13"/>
    <mergeCell ref="C10:E10"/>
    <mergeCell ref="C19:E19"/>
    <mergeCell ref="B28:C28"/>
    <mergeCell ref="C6:E6"/>
    <mergeCell ref="C15:E15"/>
    <mergeCell ref="C16:E16"/>
    <mergeCell ref="C20:E20"/>
    <mergeCell ref="C8:E8"/>
    <mergeCell ref="C12:E12"/>
    <mergeCell ref="C7:D7"/>
  </mergeCells>
  <phoneticPr fontId="0" type="noConversion"/>
  <pageMargins left="0.75" right="0.75" top="1" bottom="1" header="0.5" footer="0.5"/>
  <pageSetup scale="91" orientation="landscape" r:id="rId1"/>
  <headerFooter alignWithMargins="0"/>
  <ignoredErrors>
    <ignoredError sqref="F11" formulaRange="1"/>
  </ignoredErrors>
  <drawing r:id="rId2"/>
</worksheet>
</file>

<file path=xl/worksheets/sheet6.xml><?xml version="1.0" encoding="utf-8"?>
<worksheet xmlns="http://schemas.openxmlformats.org/spreadsheetml/2006/main" xmlns:r="http://schemas.openxmlformats.org/officeDocument/2006/relationships">
  <sheetPr codeName="Sheet5">
    <pageSetUpPr fitToPage="1"/>
  </sheetPr>
  <dimension ref="B1:M21"/>
  <sheetViews>
    <sheetView showGridLines="0" zoomScale="90" zoomScaleNormal="90" workbookViewId="0">
      <selection activeCell="H228" sqref="H228"/>
    </sheetView>
  </sheetViews>
  <sheetFormatPr defaultColWidth="9.109375" defaultRowHeight="13.2"/>
  <cols>
    <col min="1" max="1" width="5.6640625" style="8" customWidth="1"/>
    <col min="2" max="2" width="18.44140625" style="8" customWidth="1"/>
    <col min="3" max="3" width="32.6640625" style="8" customWidth="1"/>
    <col min="4" max="4" width="8.88671875" style="8" customWidth="1"/>
    <col min="5" max="5" width="6.6640625" style="8" customWidth="1"/>
    <col min="6" max="6" width="11.5546875" style="8" customWidth="1"/>
    <col min="7" max="7" width="13.33203125" style="8" customWidth="1"/>
    <col min="8" max="8" width="14" style="8" customWidth="1"/>
    <col min="9" max="9" width="5" style="8" customWidth="1"/>
    <col min="10" max="10" width="18" style="8" customWidth="1"/>
    <col min="11" max="11" width="11.5546875" style="8" customWidth="1"/>
    <col min="12" max="12" width="10.88671875" style="8" customWidth="1"/>
    <col min="13" max="16384" width="9.109375" style="8"/>
  </cols>
  <sheetData>
    <row r="1" spans="2:13" ht="41.25" customHeight="1"/>
    <row r="2" spans="2:13" ht="24.9" customHeight="1">
      <c r="B2" s="243" t="s">
        <v>303</v>
      </c>
      <c r="C2" s="243"/>
      <c r="D2" s="243"/>
      <c r="E2" s="243"/>
      <c r="F2" s="243"/>
      <c r="G2" s="243"/>
      <c r="H2" s="243"/>
      <c r="I2" s="243"/>
      <c r="J2" s="243"/>
      <c r="K2" s="243"/>
      <c r="L2" s="243"/>
    </row>
    <row r="3" spans="2:13" ht="27.75" customHeight="1">
      <c r="B3" s="244" t="s">
        <v>304</v>
      </c>
      <c r="C3" s="244"/>
      <c r="D3" s="244"/>
      <c r="E3" s="244"/>
      <c r="F3" s="244"/>
      <c r="G3" s="244"/>
      <c r="H3" s="244"/>
      <c r="I3" s="244"/>
      <c r="J3" s="244"/>
      <c r="K3" s="244"/>
      <c r="L3" s="244"/>
    </row>
    <row r="4" spans="2:13" ht="13.8" thickBot="1"/>
    <row r="5" spans="2:13" s="11" customFormat="1" ht="45.75" customHeight="1">
      <c r="B5" s="152" t="s">
        <v>91</v>
      </c>
      <c r="C5" s="153" t="s">
        <v>20</v>
      </c>
      <c r="D5" s="250" t="s">
        <v>52</v>
      </c>
      <c r="E5" s="251"/>
      <c r="F5" s="42"/>
      <c r="G5" s="247" t="s">
        <v>73</v>
      </c>
      <c r="H5" s="248"/>
      <c r="I5" s="42"/>
      <c r="J5" s="152" t="s">
        <v>91</v>
      </c>
      <c r="K5" s="249" t="s">
        <v>295</v>
      </c>
      <c r="L5" s="248"/>
    </row>
    <row r="6" spans="2:13" ht="39" customHeight="1">
      <c r="B6" s="54" t="s">
        <v>33</v>
      </c>
      <c r="C6" s="44" t="s">
        <v>64</v>
      </c>
      <c r="D6" s="58">
        <f>IF('Device Config'!I40=1,(('Device Config'!D19*'Device Config'!D$15)+('Device Config'!E19*'Device Config'!E$15)+('Device Config'!F19*'Device Config'!F$15)),(1+'Usage Conditions'!C23)*(('Device Config'!D19*'Device Config'!D$15)+('Device Config'!E19*'Device Config'!E$15)+('Device Config'!F19*'Device Config'!F$15)))</f>
        <v>2.2749999999999999</v>
      </c>
      <c r="E6" s="56" t="s">
        <v>0</v>
      </c>
      <c r="F6" s="43" t="s">
        <v>128</v>
      </c>
      <c r="G6" s="63">
        <f>D6*'Usage Conditions'!C15*'Usage Conditions'!C16</f>
        <v>0</v>
      </c>
      <c r="H6" s="56" t="s">
        <v>0</v>
      </c>
      <c r="I6" s="43"/>
      <c r="J6" s="54" t="s">
        <v>3</v>
      </c>
      <c r="K6" s="57">
        <f>IF('Device Config'!I40=1,+((('Device Config'!D19*'Device Config'!D$15)*('Usage Conditions'!C$5/'Device Config'!D$15)^2)+(('Device Config'!E19*'Device Config'!E$15)*('Usage Conditions'!D$5/'Device Config'!E$15)^2)+(('Device Config'!F19*'Device Config'!F$15)*('Usage Conditions'!E$5/'Device Config'!F$15)^2))*'Usage Conditions'!C15*'Usage Conditions'!C16,(1+'Usage Conditions'!C23)*+((('Device Config'!D19*'Device Config'!D$15)*('Usage Conditions'!C$5/'Device Config'!D$15)^2)+(('Device Config'!E19*'Device Config'!E$15)*('Usage Conditions'!D$5/'Device Config'!E$15)^2)+(('Device Config'!F19*'Device Config'!F$15)*('Usage Conditions'!E$5/'Device Config'!F$15)^2))*'Usage Conditions'!C15*'Usage Conditions'!C16)</f>
        <v>0</v>
      </c>
      <c r="L6" s="56" t="s">
        <v>0</v>
      </c>
      <c r="M6" s="43" t="s">
        <v>126</v>
      </c>
    </row>
    <row r="7" spans="2:13" ht="30" customHeight="1">
      <c r="B7" s="54" t="s">
        <v>48</v>
      </c>
      <c r="C7" s="44" t="s">
        <v>65</v>
      </c>
      <c r="D7" s="58">
        <f>IF('Device Config'!I40=1,(('Device Config'!D21*'Device Config'!D$15)+('Device Config'!E21*'Device Config'!E$15)+('Device Config'!F21*'Device Config'!F$15)),(1+'Usage Conditions'!C25)*(('Device Config'!D21*'Device Config'!D$15)+('Device Config'!E21*'Device Config'!E$15)+('Device Config'!F21*'Device Config'!F$15)))</f>
        <v>67.600000000000009</v>
      </c>
      <c r="E7" s="56" t="s">
        <v>0</v>
      </c>
      <c r="F7" s="43" t="s">
        <v>129</v>
      </c>
      <c r="G7" s="63">
        <f>D7*'Usage Conditions'!C15*(1-('Usage Conditions'!C16+'Usage Conditions'!C17+'Usage Conditions'!C18))</f>
        <v>20.28</v>
      </c>
      <c r="H7" s="56" t="s">
        <v>0</v>
      </c>
      <c r="I7" s="43"/>
      <c r="J7" s="54" t="s">
        <v>49</v>
      </c>
      <c r="K7" s="57">
        <f>IF('Device Config'!I40=1,+((('Device Config'!D21*'Device Config'!D$15)*('Usage Conditions'!C$5/'Device Config'!D$15)^2*'Usage Conditions'!C$6/1000*'Device Config'!D$31)+(('Device Config'!E21*'Device Config'!E$15)*('Usage Conditions'!D$5/'Device Config'!E$15)^2*'Usage Conditions'!C$6/1000*'Device Config'!D$31)+(('Device Config'!F21*'Device Config'!F$15)*('Usage Conditions'!E$5/'Device Config'!F$15)^2*'Usage Conditions'!C$6/1000*'Device Config'!D$31))*'Usage Conditions'!C15*(1-('Usage Conditions'!C16+'Usage Conditions'!C17+'Usage Conditions'!C18)),(1+'Usage Conditions'!C25)*+((('Device Config'!D21*'Device Config'!D$15)*('Usage Conditions'!C$5/'Device Config'!D$15)^2*'Usage Conditions'!C$6/1000*'Device Config'!D$31)+(('Device Config'!E21*'Device Config'!E$15)*('Usage Conditions'!D$5/'Device Config'!E$15)^2*'Usage Conditions'!C$6/1000*'Device Config'!D$31)+(('Device Config'!F21*'Device Config'!F$15)*('Usage Conditions'!E$5/'Device Config'!F$15)^2*'Usage Conditions'!C$6/1000*'Device Config'!D$31))*'Usage Conditions'!C15*(1-('Usage Conditions'!C16+'Usage Conditions'!C17+'Usage Conditions'!C18)))</f>
        <v>6.4799999999999995</v>
      </c>
      <c r="L7" s="56" t="s">
        <v>0</v>
      </c>
      <c r="M7" s="43" t="s">
        <v>126</v>
      </c>
    </row>
    <row r="8" spans="2:13" ht="30" customHeight="1">
      <c r="B8" s="54" t="s">
        <v>34</v>
      </c>
      <c r="C8" s="44" t="s">
        <v>72</v>
      </c>
      <c r="D8" s="58">
        <f>IF('Device Config'!I40=1,(('Device Config'!D22*'Device Config'!D$15)+('Device Config'!E22*'Device Config'!E$15)+('Device Config'!F22*'Device Config'!F$15)),(1+'Usage Conditions'!C24)*(('Device Config'!D22*'Device Config'!D$15)+('Device Config'!E22*'Device Config'!E$15)+('Device Config'!F22*'Device Config'!F$15)))</f>
        <v>12.935</v>
      </c>
      <c r="E8" s="56" t="s">
        <v>0</v>
      </c>
      <c r="F8" s="43" t="s">
        <v>130</v>
      </c>
      <c r="G8" s="63">
        <f>D8*(1-'Usage Conditions'!C15)*'Usage Conditions'!C20</f>
        <v>0</v>
      </c>
      <c r="H8" s="56" t="s">
        <v>0</v>
      </c>
      <c r="I8" s="43"/>
      <c r="J8" s="54" t="s">
        <v>4</v>
      </c>
      <c r="K8" s="57">
        <f>IF('Device Config'!I40=1,(+(('Device Config'!D22*'Device Config'!D$15)*('Usage Conditions'!C$5/'Device Config'!D$15)^2+('Device Config'!E22*'Device Config'!E$15)*('Usage Conditions'!D$5/'Device Config'!E$15)^2+('Device Config'!F22*'Device Config'!F$15)*('Usage Conditions'!E$5/'Device Config'!F$15)^2)*(1-'Usage Conditions'!C15)*'Usage Conditions'!C20),(1+'Usage Conditions'!C24)*(+(('Device Config'!D22*'Device Config'!D$15)*('Usage Conditions'!C$5/'Device Config'!D$15)^2+('Device Config'!E22*'Device Config'!E$15)*('Usage Conditions'!D$5/'Device Config'!E$15)^2+('Device Config'!F22*'Device Config'!F$15)*('Usage Conditions'!E$5/'Device Config'!F$15)^2)*(1-'Usage Conditions'!C15)*'Usage Conditions'!C20))</f>
        <v>0</v>
      </c>
      <c r="L8" s="56" t="s">
        <v>0</v>
      </c>
      <c r="M8" s="43" t="s">
        <v>126</v>
      </c>
    </row>
    <row r="9" spans="2:13" ht="30" customHeight="1">
      <c r="B9" s="54" t="s">
        <v>35</v>
      </c>
      <c r="C9" s="44" t="s">
        <v>66</v>
      </c>
      <c r="D9" s="58">
        <f>IF('Device Config'!I40=1,(('Device Config'!D24*'Device Config'!D$15)+('Device Config'!E24*'Device Config'!E$15)+('Device Config'!F24*'Device Config'!F$15)),(1+'Usage Conditions'!C26)*(('Device Config'!D24*'Device Config'!D$15)+('Device Config'!E24*'Device Config'!E$15)+('Device Config'!F24*'Device Config'!F$15)))</f>
        <v>90.057500000000005</v>
      </c>
      <c r="E9" s="56" t="s">
        <v>0</v>
      </c>
      <c r="F9" s="43" t="s">
        <v>131</v>
      </c>
      <c r="G9" s="63">
        <f>D9*(1-'Usage Conditions'!C15)*(1-'Usage Conditions'!C20)</f>
        <v>63.04025</v>
      </c>
      <c r="H9" s="56" t="s">
        <v>0</v>
      </c>
      <c r="I9" s="43"/>
      <c r="J9" s="54" t="s">
        <v>5</v>
      </c>
      <c r="K9" s="57">
        <f>IF('Device Config'!I40=1,(+('Device Config'!D24*'Device Config'!D$15)*('Usage Conditions'!C$5/'Device Config'!D$15)^2*'Usage Conditions'!C$6/1000*'Device Config'!D$31+('Device Config'!E24*'Device Config'!E$15)*('Usage Conditions'!D$5/'Device Config'!E$15)^2*'Usage Conditions'!C$6/1000*'Device Config'!D$31+('Device Config'!F24*'Device Config'!F$15)*('Usage Conditions'!E$5/'Device Config'!F$15)^2*'Usage Conditions'!C$6/1000*'Device Config'!D$31)*(1-'Usage Conditions'!C15)*(1-'Usage Conditions'!C20),(1+'Usage Conditions'!C26)*(+('Device Config'!D24*'Device Config'!D$15)*('Usage Conditions'!C$5/'Device Config'!D$15)^2*'Usage Conditions'!C$6/1000*'Device Config'!D$31+('Device Config'!E24*'Device Config'!E$15)*('Usage Conditions'!D$5/'Device Config'!E$15)^2*'Usage Conditions'!C$6/1000*'Device Config'!D$31+('Device Config'!F24*'Device Config'!F$15)*('Usage Conditions'!E$5/'Device Config'!F$15)^2*'Usage Conditions'!C$6/1000*'Device Config'!D$31)*(1-'Usage Conditions'!C15)*(1-'Usage Conditions'!C20))</f>
        <v>20.143038461538456</v>
      </c>
      <c r="L9" s="56" t="s">
        <v>0</v>
      </c>
      <c r="M9" s="43" t="s">
        <v>126</v>
      </c>
    </row>
    <row r="10" spans="2:13" ht="30" customHeight="1">
      <c r="B10" s="54" t="s">
        <v>39</v>
      </c>
      <c r="C10" s="44" t="s">
        <v>46</v>
      </c>
      <c r="D10" s="58">
        <f>+((('Device Config'!D27-'Device Config'!D24)*'Device Config'!D$15)+(('Device Config'!E27-'Device Config'!E24)*'Device Config'!E$15)+(('Device Config'!F27-'Device Config'!F24)*'Device Config'!F$15))*'Device Config'!D35/'Device Config'!D36/1000</f>
        <v>7.6808333333333341</v>
      </c>
      <c r="E10" s="56" t="s">
        <v>0</v>
      </c>
      <c r="F10" s="43" t="s">
        <v>79</v>
      </c>
      <c r="G10" s="63">
        <f>D10</f>
        <v>7.6808333333333341</v>
      </c>
      <c r="H10" s="56" t="s">
        <v>0</v>
      </c>
      <c r="I10" s="43"/>
      <c r="J10" s="54" t="s">
        <v>9</v>
      </c>
      <c r="K10" s="65">
        <f>+((('Device Config'!D27-'Device Config'!D24)*'Device Config'!D$15)*('Usage Conditions'!C$5/'Device Config'!D$15)^2+(('Device Config'!E27-'Device Config'!E24)*'Device Config'!E$15)*('Usage Conditions'!D$5/'Device Config'!E$15)^2+(('Device Config'!F27-'Device Config'!F24)*'Device Config'!F$15)*('Usage Conditions'!E$5/'Device Config'!F$15)^2)*('Device Config'!D35/'Device Config'!D36/1000)*(1-('Usage Conditions'!C17+'Usage Conditions'!C18))</f>
        <v>6.5446153846153843</v>
      </c>
      <c r="L10" s="56" t="s">
        <v>0</v>
      </c>
      <c r="M10" s="43" t="s">
        <v>126</v>
      </c>
    </row>
    <row r="11" spans="2:13" ht="30" customHeight="1">
      <c r="B11" s="54" t="s">
        <v>120</v>
      </c>
      <c r="C11" s="44" t="s">
        <v>121</v>
      </c>
      <c r="D11" s="58">
        <f>IF('Device Config'!I40=1,((('Device Config'!D28)*'Device Config'!D$15)+(('Device Config'!E28)*'Device Config'!E$15)+(('Device Config'!F28)*'Device Config'!F$15)),(1+'Usage Conditions'!C22)*((('Device Config'!D28)*'Device Config'!D$15)+(('Device Config'!E28)*'Device Config'!E$15)+(('Device Config'!F28)*'Device Config'!F$15)))</f>
        <v>6.1750000000000007</v>
      </c>
      <c r="E11" s="56" t="s">
        <v>0</v>
      </c>
      <c r="F11" s="43"/>
      <c r="G11" s="63">
        <f>D11*'Usage Conditions'!$C15*'Usage Conditions'!$C18</f>
        <v>0</v>
      </c>
      <c r="H11" s="56" t="s">
        <v>0</v>
      </c>
      <c r="I11" s="43"/>
      <c r="J11" s="54" t="s">
        <v>122</v>
      </c>
      <c r="K11" s="57">
        <f>IF('Device Config'!I40=1,(+(('Device Config'!D28)*'Device Config'!D$15)*('Usage Conditions'!C$5/'Device Config'!D$15)^2+(('Device Config'!E28)*'Device Config'!E$15)*('Usage Conditions'!D$5/'Device Config'!E$15)^2+(('Device Config'!F28)*'Device Config'!F$15)*('Usage Conditions'!E$5/'Device Config'!F$15)^2)*'Usage Conditions'!$C15*'Usage Conditions'!$C18,(1+'Usage Conditions'!C22)*(+(('Device Config'!D28)*'Device Config'!D$15)*('Usage Conditions'!C$5/'Device Config'!D$15)^2+(('Device Config'!E28)*'Device Config'!E$15)*('Usage Conditions'!D$5/'Device Config'!E$15)^2+(('Device Config'!F28)*'Device Config'!F$15)*('Usage Conditions'!E$5/'Device Config'!F$15)^2)*'Usage Conditions'!$C15*'Usage Conditions'!$C18)</f>
        <v>0</v>
      </c>
      <c r="L11" s="56" t="s">
        <v>0</v>
      </c>
      <c r="M11" s="43" t="s">
        <v>126</v>
      </c>
    </row>
    <row r="12" spans="2:13" ht="30" customHeight="1">
      <c r="B12" s="54" t="s">
        <v>123</v>
      </c>
      <c r="C12" s="44" t="s">
        <v>124</v>
      </c>
      <c r="D12" s="58">
        <f>+((('Device Config'!D29)*'Device Config'!D$15)+(('Device Config'!E29)*'Device Config'!E$15)+(('Device Config'!F29)*'Device Config'!F$15))</f>
        <v>0.30875000000000002</v>
      </c>
      <c r="E12" s="56" t="s">
        <v>0</v>
      </c>
      <c r="F12" s="43"/>
      <c r="G12" s="63">
        <f>D12*'Usage Conditions'!$C16*'Usage Conditions'!$C17</f>
        <v>0</v>
      </c>
      <c r="H12" s="56" t="s">
        <v>0</v>
      </c>
      <c r="I12" s="43"/>
      <c r="J12" s="54" t="s">
        <v>125</v>
      </c>
      <c r="K12" s="65">
        <f>(+(('Device Config'!D29)*'Device Config'!D$15)*('Usage Conditions'!C$5/'Device Config'!D$15)^2+(('Device Config'!E29)*'Device Config'!E$15)*('Usage Conditions'!D$5/'Device Config'!E$15)^2+(('Device Config'!F29)*'Device Config'!F$15)*('Usage Conditions'!E$5/'Device Config'!F$15)^2)*'Usage Conditions'!$C16*'Usage Conditions'!$C17</f>
        <v>0</v>
      </c>
      <c r="L12" s="56" t="s">
        <v>0</v>
      </c>
      <c r="M12" s="43" t="s">
        <v>126</v>
      </c>
    </row>
    <row r="13" spans="2:13" ht="30" customHeight="1">
      <c r="B13" s="54" t="s">
        <v>36</v>
      </c>
      <c r="C13" s="44" t="s">
        <v>45</v>
      </c>
      <c r="D13" s="58">
        <f>+('Device Config'!D18-(('Device Config'!D$24*'Device Config'!D34)+'Device Config'!D21*('Device Config'!D33-'Device Config'!D34))/'Device Config'!D33)*'Device Config'!D$15+('Device Config'!E18-(('Device Config'!E$24*'Device Config'!D34)+'Device Config'!E21*('Device Config'!D33-'Device Config'!D34))/'Device Config'!D33)*'Device Config'!E$15+('Device Config'!F18-(('Device Config'!F$24*'Device Config'!D34)+'Device Config'!F21*('Device Config'!D33-'Device Config'!D34))/'Device Config'!D33)*'Device Config'!F$15</f>
        <v>76.667500000000004</v>
      </c>
      <c r="E13" s="56" t="s">
        <v>0</v>
      </c>
      <c r="F13" s="43" t="s">
        <v>132</v>
      </c>
      <c r="G13" s="63">
        <f>+D13*'Device Config'!D33/'Usage Conditions'!C13</f>
        <v>56.373161764705891</v>
      </c>
      <c r="H13" s="56" t="s">
        <v>0</v>
      </c>
      <c r="I13" s="43"/>
      <c r="J13" s="54" t="s">
        <v>6</v>
      </c>
      <c r="K13" s="58">
        <f>+(('Device Config'!D18-(('Device Config'!D$24*'Device Config'!D34)+'Device Config'!D21*('Device Config'!D33-'Device Config'!D34))/'Device Config'!D33)*'Device Config'!D$15*('Usage Conditions'!C$5/'Device Config'!D$15)^2+('Device Config'!E18-(('Device Config'!E$24*'Device Config'!D34)+'Device Config'!D21*('Device Config'!D33-'Device Config'!D34))/'Device Config'!D33)*('Usage Conditions'!D$5/'Device Config'!E$15)^2+('Device Config'!F18-(('Device Config'!F$24*'Device Config'!D34)+'Device Config'!D21*('Device Config'!D33-'Device Config'!D34))/'Device Config'!D33)*'Device Config'!F$15*('Usage Conditions'!E$5/'Device Config'!F$15)^2)*('Device Config'!D33/'Usage Conditions'!C13)</f>
        <v>47.000174034110685</v>
      </c>
      <c r="L13" s="56" t="s">
        <v>0</v>
      </c>
      <c r="M13" s="43" t="s">
        <v>126</v>
      </c>
    </row>
    <row r="14" spans="2:13" ht="30" customHeight="1">
      <c r="B14" s="54" t="s">
        <v>37</v>
      </c>
      <c r="C14" s="44" t="s">
        <v>44</v>
      </c>
      <c r="D14" s="58">
        <f>+('Device Config'!D26-'Device Config'!D$24)*'Device Config'!D$15+('Device Config'!E26-'Device Config'!E$24)*'Device Config'!E$15+('Device Config'!F26-'Device Config'!F$24)*'Device Config'!F$15</f>
        <v>246.02500000000001</v>
      </c>
      <c r="E14" s="56" t="s">
        <v>0</v>
      </c>
      <c r="F14" s="43" t="s">
        <v>78</v>
      </c>
      <c r="G14" s="63">
        <f>+D14*'Usage Conditions'!C12</f>
        <v>4.9205000000000005</v>
      </c>
      <c r="H14" s="56" t="s">
        <v>0</v>
      </c>
      <c r="I14" s="43"/>
      <c r="J14" s="54" t="s">
        <v>7</v>
      </c>
      <c r="K14" s="57">
        <f>(+((('Device Config'!D26-'Device Config'!D$24)*'Device Config'!D$15)*('Usage Conditions'!C$5/'Device Config'!D$15)^2)+((('Device Config'!E26-'Device Config'!E$24)*'Device Config'!E$15)*('Usage Conditions'!D$5/'Device Config'!E$15)^2)+((('Device Config'!F26-'Device Config'!F$24)*'Device Config'!F$15)*('Usage Conditions'!E$5/'Device Config'!F$15)^2))*'Usage Conditions'!C12*'Usage Conditions'!C$6/1000*'Device Config'!D$31</f>
        <v>1.5722307692307691</v>
      </c>
      <c r="L14" s="56" t="s">
        <v>0</v>
      </c>
      <c r="M14" s="43" t="s">
        <v>126</v>
      </c>
    </row>
    <row r="15" spans="2:13" ht="30" customHeight="1">
      <c r="B15" s="54" t="s">
        <v>38</v>
      </c>
      <c r="C15" s="44" t="s">
        <v>42</v>
      </c>
      <c r="D15" s="58">
        <f>+((('Device Config'!D25-'Device Config'!D$24)*'Device Config'!D$15)+(('Device Config'!E25-'Device Config'!E$24)*'Device Config'!E$15)+(('Device Config'!F25-'Device Config'!F$24)*'Device Config'!F$15))</f>
        <v>246.67499999999998</v>
      </c>
      <c r="E15" s="56" t="s">
        <v>0</v>
      </c>
      <c r="F15" s="43" t="s">
        <v>133</v>
      </c>
      <c r="G15" s="63">
        <f>+D15*'Usage Conditions'!C11</f>
        <v>167.739</v>
      </c>
      <c r="H15" s="56" t="s">
        <v>0</v>
      </c>
      <c r="I15" s="43"/>
      <c r="J15" s="54" t="s">
        <v>8</v>
      </c>
      <c r="K15" s="57">
        <f>(+((('Device Config'!D25-'Device Config'!D$24)*'Device Config'!D$12)*('Usage Conditions'!C$5/'Device Config'!D$15)^2)+((('Device Config'!E25-'Device Config'!E$24)*'Device Config'!E$15)*('Usage Conditions'!D$5/'Device Config'!E$15)^2)+((('Device Config'!F25-'Device Config'!F$24)*'Device Config'!F$15)*('Usage Conditions'!E$5/'Device Config'!F$15)^2))*'Usage Conditions'!C$6/1000*'Device Config'!D$31*'Usage Conditions'!C11</f>
        <v>53.819786982248523</v>
      </c>
      <c r="L15" s="56" t="s">
        <v>0</v>
      </c>
      <c r="M15" s="43" t="s">
        <v>126</v>
      </c>
    </row>
    <row r="16" spans="2:13" ht="30" customHeight="1" thickBot="1">
      <c r="B16" s="59" t="s">
        <v>40</v>
      </c>
      <c r="C16" s="60" t="s">
        <v>43</v>
      </c>
      <c r="D16" s="61">
        <f>+('Usage Conditions'!C7*('Device Config'!D$11+'Device Config'!D$12))</f>
        <v>16.900000000000006</v>
      </c>
      <c r="E16" s="62" t="s">
        <v>0</v>
      </c>
      <c r="F16" s="43" t="s">
        <v>134</v>
      </c>
      <c r="G16" s="64">
        <f>+D16*'Usage Conditions'!C11</f>
        <v>11.492000000000004</v>
      </c>
      <c r="H16" s="62" t="s">
        <v>0</v>
      </c>
      <c r="I16" s="43"/>
      <c r="J16" s="54" t="s">
        <v>41</v>
      </c>
      <c r="K16" s="57">
        <f>+('Usage Conditions'!C7*('Device Config'!D$11+'Device Config'!D$12))*'Usage Conditions'!C11</f>
        <v>11.492000000000004</v>
      </c>
      <c r="L16" s="56" t="s">
        <v>0</v>
      </c>
      <c r="M16" s="43" t="s">
        <v>126</v>
      </c>
    </row>
    <row r="17" spans="2:13" ht="13.8" thickBot="1"/>
    <row r="18" spans="2:13" s="9" customFormat="1" ht="13.8" thickBot="1">
      <c r="B18" s="45" t="s">
        <v>69</v>
      </c>
      <c r="C18" s="45"/>
      <c r="D18" s="46"/>
      <c r="E18" s="73"/>
      <c r="G18" s="46">
        <f>SUM(G6:G16)</f>
        <v>331.52574509803929</v>
      </c>
      <c r="H18" s="45" t="s">
        <v>0</v>
      </c>
      <c r="K18" s="150">
        <f>SUM(K6:K16)</f>
        <v>147.05184563174384</v>
      </c>
      <c r="L18" s="151" t="s">
        <v>0</v>
      </c>
      <c r="M18" s="9" t="s">
        <v>127</v>
      </c>
    </row>
    <row r="19" spans="2:13">
      <c r="G19" s="10"/>
      <c r="H19" s="9"/>
      <c r="K19" s="10"/>
    </row>
    <row r="20" spans="2:13" ht="13.8" thickBot="1"/>
    <row r="21" spans="2:13" ht="45" customHeight="1" thickBot="1">
      <c r="C21" s="166"/>
      <c r="G21" s="245" t="s">
        <v>92</v>
      </c>
      <c r="H21" s="246"/>
      <c r="K21" s="245" t="s">
        <v>93</v>
      </c>
      <c r="L21" s="246"/>
    </row>
  </sheetData>
  <mergeCells count="7">
    <mergeCell ref="B2:L2"/>
    <mergeCell ref="B3:L3"/>
    <mergeCell ref="G21:H21"/>
    <mergeCell ref="K21:L21"/>
    <mergeCell ref="G5:H5"/>
    <mergeCell ref="K5:L5"/>
    <mergeCell ref="D5:E5"/>
  </mergeCells>
  <phoneticPr fontId="0" type="noConversion"/>
  <pageMargins left="0.75" right="0.75" top="1" bottom="1" header="0.5" footer="0.5"/>
  <pageSetup scale="7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sheetPr codeName="Sheet6">
    <pageSetUpPr fitToPage="1"/>
  </sheetPr>
  <dimension ref="A1:M47"/>
  <sheetViews>
    <sheetView showGridLines="0" zoomScale="90" zoomScaleNormal="90" workbookViewId="0">
      <selection activeCell="A2" sqref="A2:M2"/>
    </sheetView>
  </sheetViews>
  <sheetFormatPr defaultRowHeight="13.2"/>
  <cols>
    <col min="1" max="1" width="5.6640625" customWidth="1"/>
    <col min="2" max="2" width="2.6640625" customWidth="1"/>
    <col min="3" max="3" width="27" customWidth="1"/>
  </cols>
  <sheetData>
    <row r="1" spans="1:13" ht="41.25" customHeight="1"/>
    <row r="2" spans="1:13" ht="20.399999999999999">
      <c r="A2" s="253" t="str">
        <f>CONCATENATE('Device Config'!D4," LPDDR2 SDRAM with ",'Device Config'!D5," DQs and ",'Device Config'!D6," Speed Grade")</f>
        <v>4Gb S4 LPDDR2 SDRAM with x16 DQs and -18 Speed Grade</v>
      </c>
      <c r="B2" s="253"/>
      <c r="C2" s="253"/>
      <c r="D2" s="253"/>
      <c r="E2" s="253"/>
      <c r="F2" s="253"/>
      <c r="G2" s="253"/>
      <c r="H2" s="253"/>
      <c r="I2" s="253"/>
      <c r="J2" s="253"/>
      <c r="K2" s="253"/>
      <c r="L2" s="253"/>
      <c r="M2" s="253"/>
    </row>
    <row r="3" spans="1:13" ht="5.25" customHeight="1"/>
    <row r="4" spans="1:13" s="6" customFormat="1" ht="28.5" customHeight="1">
      <c r="B4" s="7"/>
      <c r="C4" s="254" t="str">
        <f>CONCATENATE("System is operating at ",'Usage Conditions'!C6," MHz at VDD2 = ",'Usage Conditions'!D5,"V."," ","Read bandwidth is ",D7," MB/s with write bandwidth of ",D8," MB/s. The data bus is idle ",D9*100,"% of the time."," ","ACT commands are separated by ",'Usage Conditions'!C13,"ns on average."," All parameters are calculated and require no user input.")</f>
        <v>System is operating at 200 MHz at VDD2 = 1.2V. Read bandwidth is 544 MB/s with write bandwidth of 16 MB/s. The data bus is idle 30% of the time. ACT commands are separated by 81.6ns on average. All parameters are calculated and require no user input.</v>
      </c>
      <c r="D4" s="254"/>
      <c r="E4" s="254"/>
      <c r="F4" s="254"/>
      <c r="G4" s="254"/>
      <c r="H4" s="254"/>
      <c r="I4" s="254"/>
      <c r="J4" s="254"/>
      <c r="K4" s="254"/>
      <c r="L4" s="254"/>
      <c r="M4" s="254"/>
    </row>
    <row r="5" spans="1:13" s="6" customFormat="1" ht="12" customHeight="1">
      <c r="B5" s="7"/>
      <c r="C5" s="66"/>
      <c r="D5" s="66"/>
      <c r="E5" s="66"/>
      <c r="F5" s="66"/>
      <c r="G5" s="66"/>
      <c r="H5" s="66"/>
      <c r="I5" s="66"/>
      <c r="J5" s="66"/>
      <c r="K5" s="66"/>
      <c r="L5" s="66"/>
      <c r="M5" s="66"/>
    </row>
    <row r="6" spans="1:13" s="6" customFormat="1" ht="12" customHeight="1" thickBot="1">
      <c r="B6" s="252" t="s">
        <v>95</v>
      </c>
      <c r="C6" s="252"/>
      <c r="D6" s="252"/>
      <c r="E6" s="252"/>
      <c r="F6" s="66"/>
      <c r="G6" s="66"/>
      <c r="H6" s="66"/>
      <c r="I6" s="66"/>
      <c r="J6" s="66"/>
      <c r="K6" s="66"/>
      <c r="L6" s="66"/>
      <c r="M6" s="66"/>
    </row>
    <row r="7" spans="1:13">
      <c r="B7" s="14" t="s">
        <v>10</v>
      </c>
      <c r="C7" s="15"/>
      <c r="D7" s="16">
        <f>INT('Usage Conditions'!C6*'Usage Conditions'!C11*'Device Config'!D11/8*2+0.999)</f>
        <v>544</v>
      </c>
      <c r="E7" s="56" t="s">
        <v>13</v>
      </c>
    </row>
    <row r="8" spans="1:13">
      <c r="A8" s="3"/>
      <c r="B8" s="17" t="s">
        <v>11</v>
      </c>
      <c r="C8" s="12"/>
      <c r="D8" s="13">
        <f>INT('Usage Conditions'!C6*'Usage Conditions'!C12*'Device Config'!D11/8*2+0.99)</f>
        <v>16</v>
      </c>
      <c r="E8" s="56" t="s">
        <v>13</v>
      </c>
    </row>
    <row r="9" spans="1:13">
      <c r="A9" s="3"/>
      <c r="B9" s="17" t="s">
        <v>12</v>
      </c>
      <c r="C9" s="12"/>
      <c r="D9" s="13">
        <f>INT(100-'Usage Conditions'!C11*100-'Usage Conditions'!C12*100+0.99)/100</f>
        <v>0.3</v>
      </c>
      <c r="E9" s="18" t="s">
        <v>50</v>
      </c>
    </row>
    <row r="10" spans="1:13">
      <c r="A10" s="4"/>
      <c r="B10" s="7"/>
      <c r="C10" s="66"/>
      <c r="D10" s="66"/>
      <c r="E10" s="66"/>
    </row>
    <row r="11" spans="1:13" ht="13.8" thickBot="1">
      <c r="A11" s="4"/>
      <c r="B11" s="252" t="s">
        <v>30</v>
      </c>
      <c r="C11" s="252"/>
      <c r="D11" s="252"/>
      <c r="E11" s="252"/>
    </row>
    <row r="12" spans="1:13">
      <c r="A12" s="4"/>
      <c r="B12" s="14" t="s">
        <v>3</v>
      </c>
      <c r="C12" s="15"/>
      <c r="D12" s="16">
        <f>'Power Calcs'!K6</f>
        <v>0</v>
      </c>
      <c r="E12" s="67" t="s">
        <v>0</v>
      </c>
    </row>
    <row r="13" spans="1:13">
      <c r="A13" s="4"/>
      <c r="B13" s="17" t="s">
        <v>49</v>
      </c>
      <c r="C13" s="12"/>
      <c r="D13" s="13">
        <f>'Power Calcs'!K7</f>
        <v>6.4799999999999995</v>
      </c>
      <c r="E13" s="56" t="s">
        <v>0</v>
      </c>
    </row>
    <row r="14" spans="1:13">
      <c r="A14" s="3"/>
      <c r="B14" s="17" t="s">
        <v>4</v>
      </c>
      <c r="C14" s="12"/>
      <c r="D14" s="13">
        <f>'Power Calcs'!K8</f>
        <v>0</v>
      </c>
      <c r="E14" s="56" t="s">
        <v>0</v>
      </c>
    </row>
    <row r="15" spans="1:13">
      <c r="A15" s="3"/>
      <c r="B15" s="17" t="s">
        <v>5</v>
      </c>
      <c r="C15" s="12"/>
      <c r="D15" s="13">
        <f>'Power Calcs'!K9</f>
        <v>20.143038461538456</v>
      </c>
      <c r="E15" s="56" t="s">
        <v>0</v>
      </c>
    </row>
    <row r="16" spans="1:13">
      <c r="A16" s="3"/>
      <c r="B16" s="17" t="s">
        <v>9</v>
      </c>
      <c r="C16" s="77"/>
      <c r="D16" s="13">
        <f>'Power Calcs'!K10</f>
        <v>6.5446153846153843</v>
      </c>
      <c r="E16" s="56" t="s">
        <v>0</v>
      </c>
    </row>
    <row r="17" spans="1:5">
      <c r="A17" s="3"/>
      <c r="B17" s="75" t="s">
        <v>122</v>
      </c>
      <c r="C17" s="78"/>
      <c r="D17" s="76">
        <f>'Power Calcs'!K11</f>
        <v>0</v>
      </c>
      <c r="E17" s="56" t="s">
        <v>0</v>
      </c>
    </row>
    <row r="18" spans="1:5">
      <c r="A18" s="3"/>
      <c r="B18" s="74" t="s">
        <v>125</v>
      </c>
      <c r="D18" s="13">
        <f>'Power Calcs'!K12</f>
        <v>0</v>
      </c>
      <c r="E18" s="56" t="s">
        <v>0</v>
      </c>
    </row>
    <row r="19" spans="1:5">
      <c r="A19" s="3"/>
      <c r="B19" s="26"/>
      <c r="C19" s="25" t="s">
        <v>32</v>
      </c>
      <c r="D19" s="27">
        <f>SUM(D12:D16)</f>
        <v>33.16765384615384</v>
      </c>
      <c r="E19" s="68" t="s">
        <v>0</v>
      </c>
    </row>
    <row r="20" spans="1:5">
      <c r="A20" s="3"/>
      <c r="B20" s="19"/>
      <c r="C20" s="20"/>
      <c r="D20" s="21"/>
      <c r="E20" s="69"/>
    </row>
    <row r="21" spans="1:5">
      <c r="A21" s="3"/>
      <c r="B21" s="17" t="s">
        <v>6</v>
      </c>
      <c r="C21" s="12"/>
      <c r="D21" s="13">
        <f>'Power Calcs'!K13</f>
        <v>47.000174034110685</v>
      </c>
      <c r="E21" s="56" t="s">
        <v>0</v>
      </c>
    </row>
    <row r="22" spans="1:5">
      <c r="A22" s="3"/>
      <c r="B22" s="26"/>
      <c r="C22" s="25" t="s">
        <v>67</v>
      </c>
      <c r="D22" s="27">
        <f>D21</f>
        <v>47.000174034110685</v>
      </c>
      <c r="E22" s="68" t="s">
        <v>0</v>
      </c>
    </row>
    <row r="23" spans="1:5">
      <c r="A23" s="3"/>
      <c r="B23" s="19"/>
      <c r="C23" s="22"/>
      <c r="D23" s="21"/>
      <c r="E23" s="69"/>
    </row>
    <row r="24" spans="1:5">
      <c r="A24" s="4"/>
      <c r="B24" s="17" t="s">
        <v>7</v>
      </c>
      <c r="C24" s="12"/>
      <c r="D24" s="13">
        <f>'Power Calcs'!K14</f>
        <v>1.5722307692307691</v>
      </c>
      <c r="E24" s="56" t="s">
        <v>0</v>
      </c>
    </row>
    <row r="25" spans="1:5">
      <c r="B25" s="17" t="s">
        <v>8</v>
      </c>
      <c r="C25" s="12"/>
      <c r="D25" s="13">
        <f>'Power Calcs'!K15</f>
        <v>53.819786982248523</v>
      </c>
      <c r="E25" s="56" t="s">
        <v>0</v>
      </c>
    </row>
    <row r="26" spans="1:5">
      <c r="B26" s="23" t="s">
        <v>41</v>
      </c>
      <c r="C26" s="24"/>
      <c r="D26" s="13">
        <f>'Power Calcs'!K16</f>
        <v>11.492000000000004</v>
      </c>
      <c r="E26" s="56" t="s">
        <v>0</v>
      </c>
    </row>
    <row r="27" spans="1:5" ht="13.8" thickBot="1">
      <c r="B27" s="26"/>
      <c r="C27" s="28" t="s">
        <v>68</v>
      </c>
      <c r="D27" s="29">
        <f>+D25+D24+D26</f>
        <v>66.884017751479291</v>
      </c>
      <c r="E27" s="70" t="s">
        <v>0</v>
      </c>
    </row>
    <row r="28" spans="1:5" ht="13.8" thickBot="1">
      <c r="B28" s="20"/>
      <c r="C28" s="31" t="s">
        <v>96</v>
      </c>
      <c r="D28" s="30">
        <f>+D27+D22+D19</f>
        <v>147.05184563174382</v>
      </c>
      <c r="E28" s="71" t="s">
        <v>0</v>
      </c>
    </row>
    <row r="29" spans="1:5">
      <c r="C29" s="2"/>
      <c r="D29" s="2"/>
    </row>
    <row r="30" spans="1:5">
      <c r="C30" s="2"/>
      <c r="D30" s="2"/>
    </row>
    <row r="31" spans="1:5">
      <c r="C31" s="2"/>
      <c r="D31" s="2"/>
    </row>
    <row r="32" spans="1:5">
      <c r="C32" s="2"/>
      <c r="D32" s="2"/>
    </row>
    <row r="33" spans="2:4">
      <c r="C33" s="2"/>
      <c r="D33" s="2"/>
    </row>
    <row r="34" spans="2:4">
      <c r="C34" s="2"/>
      <c r="D34" s="2"/>
    </row>
    <row r="35" spans="2:4">
      <c r="C35" s="2"/>
      <c r="D35" s="2"/>
    </row>
    <row r="36" spans="2:4">
      <c r="C36" s="2"/>
      <c r="D36" s="2"/>
    </row>
    <row r="37" spans="2:4">
      <c r="C37" s="2"/>
      <c r="D37" s="2"/>
    </row>
    <row r="38" spans="2:4">
      <c r="C38" s="2"/>
      <c r="D38" s="2"/>
    </row>
    <row r="39" spans="2:4">
      <c r="C39" s="2"/>
      <c r="D39" s="2"/>
    </row>
    <row r="40" spans="2:4" ht="16.5" customHeight="1">
      <c r="C40" s="2"/>
      <c r="D40" s="2"/>
    </row>
    <row r="41" spans="2:4" ht="15" customHeight="1">
      <c r="C41" s="2"/>
      <c r="D41" s="2"/>
    </row>
    <row r="42" spans="2:4">
      <c r="C42" s="2"/>
      <c r="D42" s="2"/>
    </row>
    <row r="43" spans="2:4">
      <c r="C43" s="2"/>
      <c r="D43" s="2"/>
    </row>
    <row r="44" spans="2:4">
      <c r="C44" s="2"/>
      <c r="D44" s="2"/>
    </row>
    <row r="45" spans="2:4">
      <c r="B45" s="47"/>
    </row>
    <row r="46" spans="2:4">
      <c r="B46" s="47"/>
    </row>
    <row r="47" spans="2:4">
      <c r="B47" s="5"/>
    </row>
  </sheetData>
  <mergeCells count="4">
    <mergeCell ref="B11:E11"/>
    <mergeCell ref="A2:M2"/>
    <mergeCell ref="C4:M4"/>
    <mergeCell ref="B6:E6"/>
  </mergeCells>
  <phoneticPr fontId="0" type="noConversion"/>
  <pageMargins left="0.75" right="0.75" top="1" bottom="1" header="0.5" footer="0.5"/>
  <pageSetup scale="8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Title</vt:lpstr>
      <vt:lpstr>Instructions</vt:lpstr>
      <vt:lpstr>LPDDR2-S4 Specs</vt:lpstr>
      <vt:lpstr>Device Config</vt:lpstr>
      <vt:lpstr>Usage Conditions</vt:lpstr>
      <vt:lpstr>Power Calcs</vt:lpstr>
      <vt:lpstr>Summary</vt:lpstr>
      <vt:lpstr>'Device Config'!Print_Area</vt:lpstr>
      <vt:lpstr>'LPDDR2-S4 Specs'!Print_Area</vt:lpstr>
    </vt:vector>
  </TitlesOfParts>
  <Company>Micron Technology,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jjanzen</dc:creator>
  <cp:lastModifiedBy>jbehrend</cp:lastModifiedBy>
  <cp:lastPrinted>2001-05-03T19:55:32Z</cp:lastPrinted>
  <dcterms:created xsi:type="dcterms:W3CDTF">2001-02-07T14:39:54Z</dcterms:created>
  <dcterms:modified xsi:type="dcterms:W3CDTF">2013-11-19T17:04:04Z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